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row>
    <row r="4">
      <c r="A4" s="3" t="inlineStr">
        <is>
          <t>Dirección</t>
        </is>
      </c>
      <c r="B4" s="2" t="inlineStr">
        <is>
          <t>Carrera 59 No. 84 - 179</t>
        </is>
      </c>
    </row>
    <row r="5">
      <c r="A5" s="3" t="inlineStr">
        <is>
          <t>Ciudad</t>
        </is>
      </c>
      <c r="B5" s="2" t="inlineStr">
        <is>
          <t>Barranquilla</t>
        </is>
      </c>
    </row>
    <row r="6">
      <c r="A6" s="3" t="inlineStr">
        <is>
          <t>Barrio</t>
        </is>
      </c>
      <c r="B6" s="2" t="inlineStr">
        <is>
          <t>Riomar</t>
        </is>
      </c>
    </row>
    <row r="7">
      <c r="A7" s="3" t="inlineStr">
        <is>
          <t>Tipo de inmueble</t>
        </is>
      </c>
      <c r="B7" s="2" t="inlineStr">
        <is>
          <t>APARTAMENTO</t>
        </is>
      </c>
    </row>
    <row r="8">
      <c r="A8" s="3" t="inlineStr">
        <is>
          <t>Área privada (m²)</t>
        </is>
      </c>
      <c r="B8" s="2" t="n">
        <v>80</v>
      </c>
    </row>
    <row r="9">
      <c r="A9" s="3" t="inlineStr">
        <is>
          <t>Área construida (m²)</t>
        </is>
      </c>
      <c r="B9" s="2" t="n"/>
    </row>
    <row r="10">
      <c r="A10" s="3" t="inlineStr">
        <is>
          <t>Piso</t>
        </is>
      </c>
      <c r="B10" s="2" t="n"/>
    </row>
    <row r="11">
      <c r="A11" s="3" t="inlineStr">
        <is>
          <t>Pisos del edificio</t>
        </is>
      </c>
      <c r="B11" s="2" t="n"/>
    </row>
    <row r="12">
      <c r="A12" s="3" t="inlineStr">
        <is>
          <t>Habitaciones</t>
        </is>
      </c>
      <c r="B12" s="2" t="n">
        <v>2</v>
      </c>
    </row>
    <row r="13">
      <c r="A13" s="3" t="inlineStr">
        <is>
          <t>Baños</t>
        </is>
      </c>
      <c r="B13" s="2" t="n">
        <v>2</v>
      </c>
    </row>
    <row r="14">
      <c r="A14" s="3" t="inlineStr">
        <is>
          <t>Estrato</t>
        </is>
      </c>
      <c r="B14" s="2" t="n">
        <v>5</v>
      </c>
    </row>
    <row r="15">
      <c r="A15" s="3" t="inlineStr">
        <is>
          <t>Antigüedad (años)</t>
        </is>
      </c>
      <c r="B15" s="2" t="n">
        <v>35</v>
      </c>
    </row>
    <row r="16">
      <c r="A16" s="3" t="inlineStr">
        <is>
          <t>Vida útil (años)</t>
        </is>
      </c>
      <c r="B16" s="2" t="n">
        <v>100</v>
      </c>
    </row>
    <row r="17">
      <c r="A17" s="3" t="inlineStr">
        <is>
          <t>Estado de conservación</t>
        </is>
      </c>
      <c r="B17" s="2" t="inlineStr">
        <is>
          <t>Remodelado / como nuevo</t>
        </is>
      </c>
    </row>
    <row r="18">
      <c r="A18" s="3" t="inlineStr">
        <is>
          <t>Propietario actual</t>
        </is>
      </c>
      <c r="B18" s="2" t="inlineStr"/>
    </row>
    <row r="19">
      <c r="A19" s="3" t="inlineStr">
        <is>
          <t>Código catastral</t>
        </is>
      </c>
      <c r="B19" s="2" t="inlineStr"/>
    </row>
    <row r="20">
      <c r="A20" s="3" t="inlineStr">
        <is>
          <t>NUPRE</t>
        </is>
      </c>
      <c r="B20" s="2" t="n"/>
    </row>
    <row r="21">
      <c r="A21" s="3" t="inlineStr">
        <is>
          <t>Estado del folio</t>
        </is>
      </c>
      <c r="B21" s="2" t="inlineStr"/>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47"/>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Riomar</t>
        </is>
      </c>
      <c r="C3" s="6" t="n">
        <v>75</v>
      </c>
      <c r="D3" s="7" t="n">
        <v>320000000</v>
      </c>
      <c r="E3" s="7">
        <f>IF(C3=0,0,D3/C3)</f>
        <v/>
      </c>
      <c r="F3" s="8" t="n">
        <v>0.809183</v>
      </c>
      <c r="G3" s="7">
        <f>E3*F3</f>
        <v/>
      </c>
      <c r="H3" s="8" t="n">
        <v>1</v>
      </c>
      <c r="I3" s="5" t="n">
        <v>2</v>
      </c>
      <c r="J3" s="5" t="n">
        <v>3</v>
      </c>
      <c r="K3" s="5" t="n">
        <v>5</v>
      </c>
      <c r="L3" s="9">
        <f>HYPERLINK("https://www.fincaraiz.com.co/apartamento-en-venta-en-riomar-barranquilla/10711942","🔗 Ver")</f>
        <v/>
      </c>
      <c r="M3" s="5" t="inlineStr">
        <is>
          <t>Sí</t>
        </is>
      </c>
    </row>
    <row r="4">
      <c r="A4" s="5" t="inlineStr">
        <is>
          <t>fincaraiz</t>
        </is>
      </c>
      <c r="B4" s="5" t="inlineStr">
        <is>
          <t>San vicente</t>
        </is>
      </c>
      <c r="C4" s="6" t="n">
        <v>87</v>
      </c>
      <c r="D4" s="7" t="n">
        <v>350000000</v>
      </c>
      <c r="E4" s="7">
        <f>IF(C4=0,0,D4/C4)</f>
        <v/>
      </c>
      <c r="F4" s="8" t="n">
        <v>1.163126</v>
      </c>
      <c r="G4" s="7">
        <f>E4*F4</f>
        <v/>
      </c>
      <c r="H4" s="8" t="n">
        <v>1</v>
      </c>
      <c r="I4" s="5" t="n">
        <v>3</v>
      </c>
      <c r="J4" s="5" t="n">
        <v>3</v>
      </c>
      <c r="K4" s="5" t="n">
        <v>5</v>
      </c>
      <c r="L4" s="9">
        <f>HYPERLINK("https://www.fincaraiz.com.co/apartamento-en-venta-en-san-vicente/193055594","🔗 Ver")</f>
        <v/>
      </c>
      <c r="M4" s="5" t="inlineStr">
        <is>
          <t>Sí</t>
        </is>
      </c>
    </row>
    <row r="5">
      <c r="A5" s="5" t="inlineStr">
        <is>
          <t>fincaraiz</t>
        </is>
      </c>
      <c r="B5" s="5" t="inlineStr">
        <is>
          <t>Altos del prado</t>
        </is>
      </c>
      <c r="C5" s="6" t="n">
        <v>85</v>
      </c>
      <c r="D5" s="7" t="n">
        <v>285000000</v>
      </c>
      <c r="E5" s="7">
        <f>IF(C5=0,0,D5/C5)</f>
        <v/>
      </c>
      <c r="F5" s="8" t="n">
        <v>1.316498</v>
      </c>
      <c r="G5" s="7">
        <f>E5*F5</f>
        <v/>
      </c>
      <c r="H5" s="8" t="n">
        <v>1</v>
      </c>
      <c r="I5" s="5" t="n">
        <v>2</v>
      </c>
      <c r="J5" s="5" t="n">
        <v>2</v>
      </c>
      <c r="K5" s="5" t="n">
        <v>5</v>
      </c>
      <c r="L5" s="9">
        <f>HYPERLINK("https://www.fincaraiz.com.co/apartamento-en-venta-en-altos-del-prado-barranquilla/191549632","🔗 Ver")</f>
        <v/>
      </c>
      <c r="M5" s="5" t="inlineStr">
        <is>
          <t>Sí</t>
        </is>
      </c>
    </row>
    <row r="6">
      <c r="A6" s="5" t="inlineStr">
        <is>
          <t>fincaraiz</t>
        </is>
      </c>
      <c r="B6" s="5" t="inlineStr">
        <is>
          <t>El porvenir</t>
        </is>
      </c>
      <c r="C6" s="6" t="n">
        <v>92</v>
      </c>
      <c r="D6" s="7" t="n">
        <v>380000000</v>
      </c>
      <c r="E6" s="7">
        <f>IF(C6=0,0,D6/C6)</f>
        <v/>
      </c>
      <c r="F6" s="8" t="n">
        <v>1.008612</v>
      </c>
      <c r="G6" s="7">
        <f>E6*F6</f>
        <v/>
      </c>
      <c r="H6" s="8" t="n">
        <v>1</v>
      </c>
      <c r="I6" s="5" t="n">
        <v>3</v>
      </c>
      <c r="J6" s="5" t="n">
        <v>2</v>
      </c>
      <c r="K6" s="5" t="n">
        <v>4</v>
      </c>
      <c r="L6" s="9">
        <f>HYPERLINK("https://www.fincaraiz.com.co/apartamento-en-venta-en-el-porvenir-barranquilla/192206593","🔗 Ver")</f>
        <v/>
      </c>
      <c r="M6" s="5" t="inlineStr">
        <is>
          <t>Sí</t>
        </is>
      </c>
    </row>
    <row r="7">
      <c r="A7" s="5" t="inlineStr">
        <is>
          <t>fincaraiz</t>
        </is>
      </c>
      <c r="B7" s="5" t="inlineStr">
        <is>
          <t>Paraiso</t>
        </is>
      </c>
      <c r="C7" s="6" t="n">
        <v>67</v>
      </c>
      <c r="D7" s="7" t="n">
        <v>250000000</v>
      </c>
      <c r="E7" s="7">
        <f>IF(C7=0,0,D7/C7)</f>
        <v/>
      </c>
      <c r="F7" s="8" t="n">
        <v>0.971701</v>
      </c>
      <c r="G7" s="7">
        <f>E7*F7</f>
        <v/>
      </c>
      <c r="H7" s="8" t="n">
        <v>1</v>
      </c>
      <c r="I7" s="5" t="n">
        <v>3</v>
      </c>
      <c r="J7" s="5" t="n">
        <v>2</v>
      </c>
      <c r="K7" s="5" t="n">
        <v>3</v>
      </c>
      <c r="L7" s="9">
        <f>HYPERLINK("https://www.fincaraiz.com.co/apartamento-en-venta-en-paraiso-barranquilla/193596359","🔗 Ver")</f>
        <v/>
      </c>
      <c r="M7" s="5" t="inlineStr">
        <is>
          <t>Sí</t>
        </is>
      </c>
    </row>
    <row r="8">
      <c r="A8" s="5" t="inlineStr">
        <is>
          <t>fincaraiz</t>
        </is>
      </c>
      <c r="B8" s="5" t="inlineStr">
        <is>
          <t>Altos del prado</t>
        </is>
      </c>
      <c r="C8" s="6" t="n">
        <v>70</v>
      </c>
      <c r="D8" s="7" t="n">
        <v>240000000</v>
      </c>
      <c r="E8" s="7">
        <f>IF(C8=0,0,D8/C8)</f>
        <v/>
      </c>
      <c r="F8" s="8" t="n">
        <v>1.175444</v>
      </c>
      <c r="G8" s="7">
        <f>E8*F8</f>
        <v/>
      </c>
      <c r="H8" s="8" t="n">
        <v>1</v>
      </c>
      <c r="I8" s="5" t="n">
        <v>2</v>
      </c>
      <c r="J8" s="5" t="n">
        <v>2</v>
      </c>
      <c r="K8" s="5" t="n">
        <v>5</v>
      </c>
      <c r="L8" s="9">
        <f>HYPERLINK("https://www.fincaraiz.com.co/apartamento-en-venta-en-altos-del-prado-barranquilla/193452295","🔗 Ver")</f>
        <v/>
      </c>
      <c r="M8" s="5" t="inlineStr">
        <is>
          <t>Sí</t>
        </is>
      </c>
    </row>
    <row r="9">
      <c r="A9" s="5" t="inlineStr">
        <is>
          <t>fincaraiz</t>
        </is>
      </c>
      <c r="B9" s="5" t="inlineStr">
        <is>
          <t>Altos del prado</t>
        </is>
      </c>
      <c r="C9" s="6" t="n">
        <v>100</v>
      </c>
      <c r="D9" s="7" t="n">
        <v>330000000</v>
      </c>
      <c r="E9" s="7">
        <f>IF(C9=0,0,D9/C9)</f>
        <v/>
      </c>
      <c r="F9" s="8" t="n">
        <v>1.038505</v>
      </c>
      <c r="G9" s="7">
        <f>E9*F9</f>
        <v/>
      </c>
      <c r="H9" s="8" t="n">
        <v>1</v>
      </c>
      <c r="I9" s="5" t="n">
        <v>3</v>
      </c>
      <c r="J9" s="5" t="n">
        <v>3</v>
      </c>
      <c r="K9" s="5" t="n">
        <v>5</v>
      </c>
      <c r="L9" s="9">
        <f>HYPERLINK("https://www.fincaraiz.com.co/apartamento-en-venta-en-altos-del-prado-barranquilla/192898477","🔗 Ver")</f>
        <v/>
      </c>
      <c r="M9" s="5" t="inlineStr">
        <is>
          <t>Sí</t>
        </is>
      </c>
    </row>
    <row r="10">
      <c r="A10" s="5" t="inlineStr">
        <is>
          <t>fincaraiz</t>
        </is>
      </c>
      <c r="B10" s="5" t="inlineStr">
        <is>
          <t>Puerto colombia</t>
        </is>
      </c>
      <c r="C10" s="6" t="n">
        <v>89</v>
      </c>
      <c r="D10" s="7" t="n">
        <v>480000000</v>
      </c>
      <c r="E10" s="7">
        <f>IF(C10=0,0,D10/C10)</f>
        <v/>
      </c>
      <c r="F10" s="8" t="n">
        <v>1.152397</v>
      </c>
      <c r="G10" s="7">
        <f>E10*F10</f>
        <v/>
      </c>
      <c r="H10" s="8" t="n">
        <v>1</v>
      </c>
      <c r="I10" s="5" t="n">
        <v>2</v>
      </c>
      <c r="J10" s="5" t="n">
        <v>2</v>
      </c>
      <c r="K10" s="5" t="n">
        <v>5</v>
      </c>
      <c r="L10" s="9">
        <f>HYPERLINK("https://www.fincaraiz.com.co/apartamento-en-venta-en-puerto-colombia/193862117","🔗 Ver")</f>
        <v/>
      </c>
      <c r="M10" s="5" t="inlineStr">
        <is>
          <t>No</t>
        </is>
      </c>
    </row>
    <row r="11">
      <c r="A11" s="5" t="inlineStr">
        <is>
          <t>metrocuadrado</t>
        </is>
      </c>
      <c r="B11" s="5" t="inlineStr">
        <is>
          <t>Riomar</t>
        </is>
      </c>
      <c r="C11" s="6" t="n">
        <v>86</v>
      </c>
      <c r="D11" s="7" t="n">
        <v>295000000</v>
      </c>
      <c r="E11" s="7">
        <f>IF(C11=0,0,D11/C11)</f>
        <v/>
      </c>
      <c r="F11" s="8" t="n">
        <v>0.887205</v>
      </c>
      <c r="G11" s="7">
        <f>E11*F11</f>
        <v/>
      </c>
      <c r="H11" s="8" t="n">
        <v>0.68</v>
      </c>
      <c r="I11" s="5" t="n">
        <v>3</v>
      </c>
      <c r="J11" s="5" t="n">
        <v>2</v>
      </c>
      <c r="K11" s="5" t="n"/>
      <c r="L11" s="9">
        <f>HYPERLINK("https://www.metrocuadrado.com/inmueble/venta-apartamento-barranquilla-andalucia-3-habitaciones-2-banos-1-garajes/MC5498762","🔗 Ver")</f>
        <v/>
      </c>
      <c r="M11" s="5" t="inlineStr">
        <is>
          <t>No</t>
        </is>
      </c>
    </row>
    <row r="12">
      <c r="A12" s="5" t="inlineStr">
        <is>
          <t>metrocuadrado</t>
        </is>
      </c>
      <c r="B12" s="5" t="inlineStr">
        <is>
          <t>Riomar</t>
        </is>
      </c>
      <c r="C12" s="6" t="n">
        <v>89</v>
      </c>
      <c r="D12" s="7" t="n">
        <v>320000000</v>
      </c>
      <c r="E12" s="7">
        <f>IF(C12=0,0,D12/C12)</f>
        <v/>
      </c>
      <c r="F12" s="8" t="n">
        <v>0.887205</v>
      </c>
      <c r="G12" s="7">
        <f>E12*F12</f>
        <v/>
      </c>
      <c r="H12" s="8" t="n">
        <v>0.68</v>
      </c>
      <c r="I12" s="5" t="n">
        <v>3</v>
      </c>
      <c r="J12" s="5" t="n">
        <v>2</v>
      </c>
      <c r="K12" s="5" t="n"/>
      <c r="L12" s="9">
        <f>HYPERLINK("https://www.metrocuadrado.com/inmueble/venta-apartamento-barranquilla-andalucia-3-habitaciones-2-banos-1-garajes/22183-M6435049","🔗 Ver")</f>
        <v/>
      </c>
      <c r="M12" s="5" t="inlineStr">
        <is>
          <t>No</t>
        </is>
      </c>
    </row>
    <row r="13">
      <c r="A13" s="5" t="inlineStr">
        <is>
          <t>metrocuadrado</t>
        </is>
      </c>
      <c r="B13" s="5" t="inlineStr">
        <is>
          <t>Riomar</t>
        </is>
      </c>
      <c r="C13" s="6" t="n">
        <v>78</v>
      </c>
      <c r="D13" s="7" t="n">
        <v>340000000</v>
      </c>
      <c r="E13" s="7">
        <f>IF(C13=0,0,D13/C13)</f>
        <v/>
      </c>
      <c r="F13" s="8" t="n">
        <v>0.842845</v>
      </c>
      <c r="G13" s="7">
        <f>E13*F13</f>
        <v/>
      </c>
      <c r="H13" s="8" t="n">
        <v>0.68</v>
      </c>
      <c r="I13" s="5" t="n">
        <v>3</v>
      </c>
      <c r="J13" s="5" t="n">
        <v>3</v>
      </c>
      <c r="K13" s="5" t="n"/>
      <c r="L13" s="9">
        <f>HYPERLINK("https://www.metrocuadrado.com/inmueble/venta-apartamento-barranquilla-cr.-andarrios-3-habitaciones-3-banos-1-garajes/MC6495455","🔗 Ver")</f>
        <v/>
      </c>
      <c r="M13" s="5" t="inlineStr">
        <is>
          <t>Sí</t>
        </is>
      </c>
    </row>
    <row r="14">
      <c r="A14" s="5" t="inlineStr">
        <is>
          <t>metrocuadrado</t>
        </is>
      </c>
      <c r="B14" s="5" t="inlineStr">
        <is>
          <t>Riomar</t>
        </is>
      </c>
      <c r="C14" s="6" t="n">
        <v>72</v>
      </c>
      <c r="D14" s="7" t="n">
        <v>240000000</v>
      </c>
      <c r="E14" s="7">
        <f>IF(C14=0,0,D14/C14)</f>
        <v/>
      </c>
      <c r="F14" s="8" t="n">
        <v>0.887205</v>
      </c>
      <c r="G14" s="7">
        <f>E14*F14</f>
        <v/>
      </c>
      <c r="H14" s="8" t="n">
        <v>0.68</v>
      </c>
      <c r="I14" s="5" t="n">
        <v>3</v>
      </c>
      <c r="J14" s="5" t="n">
        <v>2</v>
      </c>
      <c r="K14" s="5" t="n"/>
      <c r="L14" s="9">
        <f>HYPERLINK("https://www.metrocuadrado.com/inmueble/venta-apartamento-barranquilla-villa-carolina-3-habitaciones-2-banos/22367-M6815649","🔗 Ver")</f>
        <v/>
      </c>
      <c r="M14" s="5" t="inlineStr">
        <is>
          <t>No</t>
        </is>
      </c>
    </row>
    <row r="15">
      <c r="A15" s="5" t="inlineStr">
        <is>
          <t>metrocuadrado</t>
        </is>
      </c>
      <c r="B15" s="5" t="inlineStr">
        <is>
          <t>Riomar</t>
        </is>
      </c>
      <c r="C15" s="6" t="n">
        <v>60</v>
      </c>
      <c r="D15" s="7" t="n">
        <v>300000000</v>
      </c>
      <c r="E15" s="7">
        <f>IF(C15=0,0,D15/C15)</f>
        <v/>
      </c>
      <c r="F15" s="8" t="n">
        <v>0.975926</v>
      </c>
      <c r="G15" s="7">
        <f>E15*F15</f>
        <v/>
      </c>
      <c r="H15" s="8" t="n">
        <v>0.68</v>
      </c>
      <c r="I15" s="5" t="n">
        <v>3</v>
      </c>
      <c r="J15" s="5" t="n">
        <v>2</v>
      </c>
      <c r="K15" s="5" t="n"/>
      <c r="L15" s="9">
        <f>HYPERLINK("https://www.metrocuadrado.com/inmueble/venta-apartamento-barranquilla-conjunto-residencial-sorrento-3-habitaciones-2-banos-1-garajes/17025-M6043314","🔗 Ver")</f>
        <v/>
      </c>
      <c r="M15" s="5" t="inlineStr">
        <is>
          <t>No</t>
        </is>
      </c>
    </row>
    <row r="16">
      <c r="A16" s="5" t="inlineStr">
        <is>
          <t>metrocuadrado</t>
        </is>
      </c>
      <c r="B16" s="5" t="inlineStr">
        <is>
          <t>Riomar</t>
        </is>
      </c>
      <c r="C16" s="6" t="n">
        <v>87</v>
      </c>
      <c r="D16" s="7" t="n">
        <v>435000000</v>
      </c>
      <c r="E16" s="7">
        <f>IF(C16=0,0,D16/C16)</f>
        <v/>
      </c>
      <c r="F16" s="8" t="n">
        <v>0.887205</v>
      </c>
      <c r="G16" s="7">
        <f>E16*F16</f>
        <v/>
      </c>
      <c r="H16" s="8" t="n">
        <v>0.68</v>
      </c>
      <c r="I16" s="5" t="n">
        <v>3</v>
      </c>
      <c r="J16" s="5" t="n">
        <v>2</v>
      </c>
      <c r="K16" s="5" t="n"/>
      <c r="L16" s="9">
        <f>HYPERLINK("https://www.metrocuadrado.com/inmueble/venta-apartamento-barranquilla-villa-santos-3-habitaciones-2-banos-1-garajes/17025-M5546777","🔗 Ver")</f>
        <v/>
      </c>
      <c r="M16" s="5" t="inlineStr">
        <is>
          <t>Sí</t>
        </is>
      </c>
    </row>
    <row r="17">
      <c r="A17" s="5" t="inlineStr">
        <is>
          <t>properati</t>
        </is>
      </c>
      <c r="B17" s="5" t="inlineStr">
        <is>
          <t>Ríomar</t>
        </is>
      </c>
      <c r="C17" s="6" t="n">
        <v>68</v>
      </c>
      <c r="D17" s="7" t="n">
        <v>285000000</v>
      </c>
      <c r="E17" s="7">
        <f>IF(C17=0,0,D17/C17)</f>
        <v/>
      </c>
      <c r="F17" s="8" t="n">
        <v>0.887205</v>
      </c>
      <c r="G17" s="7">
        <f>E17*F17</f>
        <v/>
      </c>
      <c r="H17" s="8" t="n">
        <v>0.68</v>
      </c>
      <c r="I17" s="5" t="n">
        <v>3</v>
      </c>
      <c r="J17" s="5" t="n">
        <v>2</v>
      </c>
      <c r="K17" s="5" t="n"/>
      <c r="L17" s="9">
        <f>HYPERLINK("https://www.properati.com.co/detalle/14032-32-105c-42e8890b3415-19eb9da-820e-71b9","🔗 Ver")</f>
        <v/>
      </c>
      <c r="M17" s="5" t="inlineStr">
        <is>
          <t>Sí</t>
        </is>
      </c>
    </row>
    <row r="18">
      <c r="A18" s="5" t="inlineStr">
        <is>
          <t>properati</t>
        </is>
      </c>
      <c r="B18" s="5" t="inlineStr">
        <is>
          <t>Ríomar</t>
        </is>
      </c>
      <c r="C18" s="6" t="n">
        <v>58</v>
      </c>
      <c r="D18" s="7" t="n">
        <v>310000000</v>
      </c>
      <c r="E18" s="7">
        <f>IF(C18=0,0,D18/C18)</f>
        <v/>
      </c>
      <c r="F18" s="8" t="n">
        <v>0.988163</v>
      </c>
      <c r="G18" s="7">
        <f>E18*F18</f>
        <v/>
      </c>
      <c r="H18" s="8" t="n">
        <v>0.68</v>
      </c>
      <c r="I18" s="5" t="n">
        <v>3</v>
      </c>
      <c r="J18" s="5" t="n">
        <v>2</v>
      </c>
      <c r="K18" s="5" t="n"/>
      <c r="L18" s="9">
        <f>HYPERLINK("https://www.properati.com.co/detalle/14032-32-11a6-bf917bc57bb4-19f1fcb-bffb-7231","🔗 Ver")</f>
        <v/>
      </c>
      <c r="M18" s="5" t="inlineStr">
        <is>
          <t>No</t>
        </is>
      </c>
    </row>
    <row r="19">
      <c r="A19" s="5" t="inlineStr">
        <is>
          <t>ciencuadras</t>
        </is>
      </c>
      <c r="B19" s="5" t="inlineStr">
        <is>
          <t>ALTOS DE RIOMAR</t>
        </is>
      </c>
      <c r="C19" s="6" t="n">
        <v>60</v>
      </c>
      <c r="D19" s="7" t="n">
        <v>214000000</v>
      </c>
      <c r="E19" s="7">
        <f>IF(C19=0,0,D19/C19)</f>
        <v/>
      </c>
      <c r="F19" s="8" t="n">
        <v>1.049382</v>
      </c>
      <c r="G19" s="7">
        <f>E19*F19</f>
        <v/>
      </c>
      <c r="H19" s="8" t="n">
        <v>0.5600000000000001</v>
      </c>
      <c r="I19" s="5" t="n">
        <v>2</v>
      </c>
      <c r="J19" s="5" t="n">
        <v>2</v>
      </c>
      <c r="K19" s="5" t="n"/>
      <c r="L19" s="9">
        <f>HYPERLINK("https://www.ciencuadras.com/inmueble/apartamento-en-venta-en-altos-de-riomar-barranquilla-3768026","🔗 Ver")</f>
        <v/>
      </c>
      <c r="M19" s="5" t="inlineStr">
        <is>
          <t>Sí</t>
        </is>
      </c>
    </row>
    <row r="20">
      <c r="A20" s="5" t="inlineStr">
        <is>
          <t>ciencuadras</t>
        </is>
      </c>
      <c r="B20" s="5" t="inlineStr">
        <is>
          <t>EL PRADO</t>
        </is>
      </c>
      <c r="C20" s="6" t="n">
        <v>80</v>
      </c>
      <c r="D20" s="7" t="n">
        <v>380000000</v>
      </c>
      <c r="E20" s="7">
        <f>IF(C20=0,0,D20/C20)</f>
        <v/>
      </c>
      <c r="F20" s="8" t="n">
        <v>1.042227</v>
      </c>
      <c r="G20" s="7">
        <f>E20*F20</f>
        <v/>
      </c>
      <c r="H20" s="8" t="n">
        <v>0.5600000000000001</v>
      </c>
      <c r="I20" s="5" t="n">
        <v>2</v>
      </c>
      <c r="J20" s="5" t="n">
        <v>3</v>
      </c>
      <c r="K20" s="5" t="n"/>
      <c r="L20" s="9">
        <f>HYPERLINK("https://www.ciencuadras.com/inmueble/apartamento-en-venta-en-el-prado-barranquilla-3768197","🔗 Ver")</f>
        <v/>
      </c>
      <c r="M20" s="5" t="inlineStr">
        <is>
          <t>No</t>
        </is>
      </c>
    </row>
    <row r="21">
      <c r="A21" s="2" t="n"/>
      <c r="B21" s="2" t="n"/>
      <c r="C21" s="2" t="n"/>
      <c r="D21" s="2" t="n"/>
      <c r="E21" s="2" t="n"/>
      <c r="F21" s="2" t="n"/>
      <c r="G21" s="2" t="n"/>
      <c r="H21" s="2" t="n"/>
      <c r="I21" s="2" t="n"/>
      <c r="J21" s="2" t="n"/>
      <c r="K21" s="2" t="n"/>
      <c r="L21" s="2" t="n"/>
      <c r="M21" s="2" t="n"/>
    </row>
    <row r="22">
      <c r="A22" s="1" t="inlineStr">
        <is>
          <t>COMPARABLES DE ARRIENDO</t>
        </is>
      </c>
      <c r="B22" s="2" t="n"/>
      <c r="C22" s="2" t="n"/>
      <c r="D22" s="2" t="n"/>
      <c r="E22" s="2" t="n"/>
      <c r="F22" s="2" t="n"/>
      <c r="G22" s="2" t="n"/>
      <c r="H22" s="2" t="n"/>
      <c r="I22" s="2" t="n"/>
      <c r="J22" s="2" t="n"/>
      <c r="K22" s="2" t="n"/>
      <c r="L22" s="2" t="n"/>
      <c r="M22" s="2" t="n"/>
    </row>
    <row r="23">
      <c r="A23" s="4" t="inlineStr">
        <is>
          <t>Portal</t>
        </is>
      </c>
      <c r="B23" s="4" t="inlineStr">
        <is>
          <t>Barrio</t>
        </is>
      </c>
      <c r="C23" s="4" t="inlineStr">
        <is>
          <t>Área m²</t>
        </is>
      </c>
      <c r="D23" s="4" t="inlineStr">
        <is>
          <t>Precio (COP)</t>
        </is>
      </c>
      <c r="E23" s="4" t="inlineStr">
        <is>
          <t>Precio/m²</t>
        </is>
      </c>
      <c r="F23" s="4" t="inlineStr">
        <is>
          <t>Factor homog.</t>
        </is>
      </c>
      <c r="G23" s="4" t="inlineStr">
        <is>
          <t>Precio/m² homog.</t>
        </is>
      </c>
      <c r="H23" s="4" t="inlineStr">
        <is>
          <t>Peso fuente</t>
        </is>
      </c>
      <c r="I23" s="4" t="inlineStr">
        <is>
          <t>Hab</t>
        </is>
      </c>
      <c r="J23" s="4" t="inlineStr">
        <is>
          <t>Baños</t>
        </is>
      </c>
      <c r="K23" s="4" t="inlineStr">
        <is>
          <t>Estrato</t>
        </is>
      </c>
      <c r="L23" s="4" t="inlineStr">
        <is>
          <t>Enlace</t>
        </is>
      </c>
      <c r="M23" s="4" t="inlineStr">
        <is>
          <t>INCLUIR EN ACM</t>
        </is>
      </c>
    </row>
    <row r="24">
      <c r="A24" s="5" t="inlineStr">
        <is>
          <t>fincaraiz</t>
        </is>
      </c>
      <c r="B24" s="5" t="inlineStr">
        <is>
          <t>Altos del prado</t>
        </is>
      </c>
      <c r="C24" s="6" t="n">
        <v>75</v>
      </c>
      <c r="D24" s="7" t="n">
        <v>3200000</v>
      </c>
      <c r="E24" s="7">
        <f>IF(C24=0,0,D24/C24)</f>
        <v/>
      </c>
      <c r="F24" s="8" t="n">
        <v>1.193587</v>
      </c>
      <c r="G24" s="7">
        <f>E24*F24</f>
        <v/>
      </c>
      <c r="H24" s="8" t="n">
        <v>1</v>
      </c>
      <c r="I24" s="5" t="n">
        <v>2</v>
      </c>
      <c r="J24" s="5" t="n">
        <v>2</v>
      </c>
      <c r="K24" s="5" t="n">
        <v>5</v>
      </c>
      <c r="L24" s="9">
        <f>HYPERLINK("https://www.fincaraiz.com.co/apartamento-en-arriendo-en-altos-del-prado-barranquilla/193102739","🔗 Ver")</f>
        <v/>
      </c>
      <c r="M24" s="5" t="inlineStr">
        <is>
          <t>Sí</t>
        </is>
      </c>
    </row>
    <row r="25">
      <c r="A25" s="5" t="inlineStr">
        <is>
          <t>fincaraiz</t>
        </is>
      </c>
      <c r="B25" s="5" t="inlineStr">
        <is>
          <t>Riomar</t>
        </is>
      </c>
      <c r="C25" s="6" t="n">
        <v>58</v>
      </c>
      <c r="D25" s="7" t="n">
        <v>2200000</v>
      </c>
      <c r="E25" s="7">
        <f>IF(C25=0,0,D25/C25)</f>
        <v/>
      </c>
      <c r="F25" s="8" t="n">
        <v>0.913056</v>
      </c>
      <c r="G25" s="7">
        <f>E25*F25</f>
        <v/>
      </c>
      <c r="H25" s="8" t="n">
        <v>1</v>
      </c>
      <c r="I25" s="5" t="n">
        <v>2</v>
      </c>
      <c r="J25" s="5" t="n">
        <v>2</v>
      </c>
      <c r="K25" s="5" t="n">
        <v>5</v>
      </c>
      <c r="L25" s="9">
        <f>HYPERLINK("https://www.fincaraiz.com.co/apartamento-en-arriendo-en-riomar-barranquilla/192624986","🔗 Ver")</f>
        <v/>
      </c>
      <c r="M25" s="5" t="inlineStr">
        <is>
          <t>Sí</t>
        </is>
      </c>
    </row>
    <row r="26">
      <c r="A26" s="5" t="inlineStr">
        <is>
          <t>fincaraiz</t>
        </is>
      </c>
      <c r="B26" s="5" t="inlineStr">
        <is>
          <t>Altos del prado</t>
        </is>
      </c>
      <c r="C26" s="6" t="n">
        <v>65</v>
      </c>
      <c r="D26" s="7" t="n">
        <v>2000000</v>
      </c>
      <c r="E26" s="7">
        <f>IF(C26=0,0,D26/C26)</f>
        <v/>
      </c>
      <c r="F26" s="8" t="n">
        <v>1.27622</v>
      </c>
      <c r="G26" s="7">
        <f>E26*F26</f>
        <v/>
      </c>
      <c r="H26" s="8" t="n">
        <v>1</v>
      </c>
      <c r="I26" s="5" t="n">
        <v>2</v>
      </c>
      <c r="J26" s="5" t="n">
        <v>2</v>
      </c>
      <c r="K26" s="5" t="n">
        <v>6</v>
      </c>
      <c r="L26" s="9">
        <f>HYPERLINK("https://www.fincaraiz.com.co/apartamento-en-arriendo-en-altos-del-prado-barranquilla/193452526","🔗 Ver")</f>
        <v/>
      </c>
      <c r="M26" s="5" t="inlineStr">
        <is>
          <t>Sí</t>
        </is>
      </c>
    </row>
    <row r="27">
      <c r="A27" s="5" t="inlineStr">
        <is>
          <t>fincaraiz</t>
        </is>
      </c>
      <c r="B27" s="5" t="inlineStr">
        <is>
          <t>Altos del prado</t>
        </is>
      </c>
      <c r="C27" s="6" t="n">
        <v>57</v>
      </c>
      <c r="D27" s="7" t="n">
        <v>1800000</v>
      </c>
      <c r="E27" s="7">
        <f>IF(C27=0,0,D27/C27)</f>
        <v/>
      </c>
      <c r="F27" s="8" t="n">
        <v>1.503326</v>
      </c>
      <c r="G27" s="7">
        <f>E27*F27</f>
        <v/>
      </c>
      <c r="H27" s="8" t="n">
        <v>1</v>
      </c>
      <c r="I27" s="5" t="n">
        <v>1</v>
      </c>
      <c r="J27" s="5" t="n">
        <v>1</v>
      </c>
      <c r="K27" s="5" t="n">
        <v>5</v>
      </c>
      <c r="L27" s="9">
        <f>HYPERLINK("https://www.fincaraiz.com.co/apartamento-en-arriendo-en-altos-del-prado-barranquilla/193604456","🔗 Ver")</f>
        <v/>
      </c>
      <c r="M27" s="5" t="inlineStr">
        <is>
          <t>Sí</t>
        </is>
      </c>
    </row>
    <row r="28">
      <c r="A28" s="5" t="inlineStr">
        <is>
          <t>fincaraiz</t>
        </is>
      </c>
      <c r="B28" s="5" t="inlineStr">
        <is>
          <t>Altos del prado</t>
        </is>
      </c>
      <c r="C28" s="6" t="n">
        <v>70</v>
      </c>
      <c r="D28" s="7" t="n">
        <v>2600000</v>
      </c>
      <c r="E28" s="7">
        <f>IF(C28=0,0,D28/C28)</f>
        <v/>
      </c>
      <c r="F28" s="8" t="n">
        <v>1.193587</v>
      </c>
      <c r="G28" s="7">
        <f>E28*F28</f>
        <v/>
      </c>
      <c r="H28" s="8" t="n">
        <v>1</v>
      </c>
      <c r="I28" s="5" t="n">
        <v>2</v>
      </c>
      <c r="J28" s="5" t="n">
        <v>2</v>
      </c>
      <c r="K28" s="5" t="n">
        <v>6</v>
      </c>
      <c r="L28" s="9">
        <f>HYPERLINK("https://www.fincaraiz.com.co/apartamento-en-arriendo-en-altos-del-prado-barranquilla/193949522","🔗 Ver")</f>
        <v/>
      </c>
      <c r="M28" s="5" t="inlineStr">
        <is>
          <t>Sí</t>
        </is>
      </c>
    </row>
    <row r="29">
      <c r="A29" s="5" t="inlineStr">
        <is>
          <t>fincaraiz</t>
        </is>
      </c>
      <c r="B29" s="5" t="inlineStr">
        <is>
          <t>Rio Alto</t>
        </is>
      </c>
      <c r="C29" s="6" t="n">
        <v>85</v>
      </c>
      <c r="D29" s="7" t="n">
        <v>3200000</v>
      </c>
      <c r="E29" s="7">
        <f>IF(C29=0,0,D29/C29)</f>
        <v/>
      </c>
      <c r="F29" s="8" t="n">
        <v>0.853874</v>
      </c>
      <c r="G29" s="7">
        <f>E29*F29</f>
        <v/>
      </c>
      <c r="H29" s="8" t="n">
        <v>1</v>
      </c>
      <c r="I29" s="5" t="n">
        <v>3</v>
      </c>
      <c r="J29" s="5" t="n">
        <v>2</v>
      </c>
      <c r="K29" s="5" t="n">
        <v>5</v>
      </c>
      <c r="L29" s="9">
        <f>HYPERLINK("https://www.fincaraiz.com.co/apartamento-en-arriendo-en-rio-alto-barranquilla/193860120","🔗 Ver")</f>
        <v/>
      </c>
      <c r="M29" s="5" t="inlineStr">
        <is>
          <t>Sí</t>
        </is>
      </c>
    </row>
    <row r="30">
      <c r="A30" s="5" t="inlineStr">
        <is>
          <t>fincaraiz</t>
        </is>
      </c>
      <c r="B30" s="5" t="inlineStr">
        <is>
          <t>Villa country</t>
        </is>
      </c>
      <c r="C30" s="6" t="n">
        <v>62</v>
      </c>
      <c r="D30" s="7" t="n">
        <v>2004000</v>
      </c>
      <c r="E30" s="7">
        <f>IF(C30=0,0,D30/C30)</f>
        <v/>
      </c>
      <c r="F30" s="8" t="n">
        <v>0.940843</v>
      </c>
      <c r="G30" s="7">
        <f>E30*F30</f>
        <v/>
      </c>
      <c r="H30" s="8" t="n">
        <v>1</v>
      </c>
      <c r="I30" s="5" t="n">
        <v>2</v>
      </c>
      <c r="J30" s="5" t="n">
        <v>2</v>
      </c>
      <c r="K30" s="5" t="n">
        <v>6</v>
      </c>
      <c r="L30" s="9">
        <f>HYPERLINK("https://www.fincaraiz.com.co/apartamento-en-arriendo-en-villa-country-barranquilla/193543379","🔗 Ver")</f>
        <v/>
      </c>
      <c r="M30" s="5" t="inlineStr">
        <is>
          <t>Sí</t>
        </is>
      </c>
    </row>
    <row r="31">
      <c r="A31" s="5" t="inlineStr">
        <is>
          <t>fincaraiz</t>
        </is>
      </c>
      <c r="B31" s="5" t="inlineStr">
        <is>
          <t>Nuevo horizonte</t>
        </is>
      </c>
      <c r="C31" s="6" t="n">
        <v>58</v>
      </c>
      <c r="D31" s="7" t="n">
        <v>2600000</v>
      </c>
      <c r="E31" s="7">
        <f>IF(C31=0,0,D31/C31)</f>
        <v/>
      </c>
      <c r="F31" s="8" t="n">
        <v>1.16256</v>
      </c>
      <c r="G31" s="7">
        <f>E31*F31</f>
        <v/>
      </c>
      <c r="H31" s="8" t="n">
        <v>1</v>
      </c>
      <c r="I31" s="5" t="n">
        <v>2</v>
      </c>
      <c r="J31" s="5" t="n">
        <v>2</v>
      </c>
      <c r="K31" s="5" t="n">
        <v>4</v>
      </c>
      <c r="L31" s="9">
        <f>HYPERLINK("https://www.fincaraiz.com.co/apartamento-en-arriendo-en-nuevo-horizonte-barranquilla/193149830","🔗 Ver")</f>
        <v/>
      </c>
      <c r="M31" s="5" t="inlineStr">
        <is>
          <t>Sí</t>
        </is>
      </c>
    </row>
    <row r="32">
      <c r="A32" s="5" t="inlineStr">
        <is>
          <t>metrocuadrado</t>
        </is>
      </c>
      <c r="B32" s="5" t="inlineStr">
        <is>
          <t>Riomar</t>
        </is>
      </c>
      <c r="C32" s="6" t="n">
        <v>82</v>
      </c>
      <c r="D32" s="7" t="n">
        <v>2500000</v>
      </c>
      <c r="E32" s="7">
        <f>IF(C32=0,0,D32/C32)</f>
        <v/>
      </c>
      <c r="F32" s="8" t="n">
        <v>0.853874</v>
      </c>
      <c r="G32" s="7">
        <f>E32*F32</f>
        <v/>
      </c>
      <c r="H32" s="8" t="n">
        <v>0.68</v>
      </c>
      <c r="I32" s="5" t="n">
        <v>3</v>
      </c>
      <c r="J32" s="5" t="n">
        <v>2</v>
      </c>
      <c r="K32" s="5" t="n"/>
      <c r="L32" s="9">
        <f>HYPERLINK("https://www.metrocuadrado.com/inmueble/arriendo-apartamento-barranquilla-los-alpes-3-habitaciones-2-banos-1-garajes/9889-M4361051","🔗 Ver")</f>
        <v/>
      </c>
      <c r="M32" s="5" t="inlineStr">
        <is>
          <t>No</t>
        </is>
      </c>
    </row>
    <row r="33">
      <c r="A33" s="5" t="inlineStr">
        <is>
          <t>metrocuadrado</t>
        </is>
      </c>
      <c r="B33" s="5" t="inlineStr">
        <is>
          <t>Riomar</t>
        </is>
      </c>
      <c r="C33" s="6" t="n">
        <v>68</v>
      </c>
      <c r="D33" s="7" t="n">
        <v>2300000</v>
      </c>
      <c r="E33" s="7">
        <f>IF(C33=0,0,D33/C33)</f>
        <v/>
      </c>
      <c r="F33" s="8" t="n">
        <v>0.918144</v>
      </c>
      <c r="G33" s="7">
        <f>E33*F33</f>
        <v/>
      </c>
      <c r="H33" s="8" t="n">
        <v>0.68</v>
      </c>
      <c r="I33" s="5" t="n">
        <v>2</v>
      </c>
      <c r="J33" s="5" t="n">
        <v>2</v>
      </c>
      <c r="K33" s="5" t="n"/>
      <c r="L33" s="9">
        <f>HYPERLINK("https://www.metrocuadrado.com/inmueble/arriendo-apartamento-barranquilla-los-alpes-2-habitaciones-2-banos-1-garajes/22682-M6618292","🔗 Ver")</f>
        <v/>
      </c>
      <c r="M33" s="5" t="inlineStr">
        <is>
          <t>No</t>
        </is>
      </c>
    </row>
    <row r="34">
      <c r="A34" s="5" t="inlineStr">
        <is>
          <t>metrocuadrado</t>
        </is>
      </c>
      <c r="B34" s="5" t="inlineStr">
        <is>
          <t>Riomar</t>
        </is>
      </c>
      <c r="C34" s="6" t="n">
        <v>85.36</v>
      </c>
      <c r="D34" s="7" t="n">
        <v>3500000</v>
      </c>
      <c r="E34" s="7">
        <f>IF(C34=0,0,D34/C34)</f>
        <v/>
      </c>
      <c r="F34" s="8" t="n">
        <v>0.853874</v>
      </c>
      <c r="G34" s="7">
        <f>E34*F34</f>
        <v/>
      </c>
      <c r="H34" s="8" t="n">
        <v>0.68</v>
      </c>
      <c r="I34" s="5" t="n">
        <v>3</v>
      </c>
      <c r="J34" s="5" t="n">
        <v>2</v>
      </c>
      <c r="K34" s="5" t="n"/>
      <c r="L34" s="9">
        <f>HYPERLINK("https://www.metrocuadrado.com/inmueble/arriendo-apartamento-barranquilla-ub.-altos-de-parque-3-habitaciones-2-banos-1-garajes/MC6656634","🔗 Ver")</f>
        <v/>
      </c>
      <c r="M34" s="5" t="inlineStr">
        <is>
          <t>No</t>
        </is>
      </c>
    </row>
    <row r="35">
      <c r="A35" s="5" t="inlineStr">
        <is>
          <t>metrocuadrado</t>
        </is>
      </c>
      <c r="B35" s="5" t="inlineStr">
        <is>
          <t>Riomar</t>
        </is>
      </c>
      <c r="C35" s="6" t="n">
        <v>58</v>
      </c>
      <c r="D35" s="7" t="n">
        <v>2800000</v>
      </c>
      <c r="E35" s="7">
        <f>IF(C35=0,0,D35/C35)</f>
        <v/>
      </c>
      <c r="F35" s="8" t="n">
        <v>0.913056</v>
      </c>
      <c r="G35" s="7">
        <f>E35*F35</f>
        <v/>
      </c>
      <c r="H35" s="8" t="n">
        <v>0.68</v>
      </c>
      <c r="I35" s="5" t="n">
        <v>2</v>
      </c>
      <c r="J35" s="5" t="n">
        <v>2</v>
      </c>
      <c r="K35" s="5" t="n"/>
      <c r="L35" s="9">
        <f>HYPERLINK("https://www.metrocuadrado.com/inmueble/arriendo-apartamento-barranquilla-el-tabor-2-habitaciones-2-banos-1-garajes/22183-M6498562","🔗 Ver")</f>
        <v/>
      </c>
      <c r="M35" s="5" t="inlineStr">
        <is>
          <t>Sí</t>
        </is>
      </c>
    </row>
    <row r="36">
      <c r="A36" s="5" t="inlineStr">
        <is>
          <t>metrocuadrado</t>
        </is>
      </c>
      <c r="B36" s="5" t="inlineStr">
        <is>
          <t>Riomar</t>
        </is>
      </c>
      <c r="C36" s="6" t="n">
        <v>90</v>
      </c>
      <c r="D36" s="7" t="n">
        <v>3200000</v>
      </c>
      <c r="E36" s="7">
        <f>IF(C36=0,0,D36/C36)</f>
        <v/>
      </c>
      <c r="F36" s="8" t="n">
        <v>0.872237</v>
      </c>
      <c r="G36" s="7">
        <f>E36*F36</f>
        <v/>
      </c>
      <c r="H36" s="8" t="n">
        <v>0.68</v>
      </c>
      <c r="I36" s="5" t="n">
        <v>2</v>
      </c>
      <c r="J36" s="5" t="n">
        <v>3</v>
      </c>
      <c r="K36" s="5" t="n"/>
      <c r="L36" s="9">
        <f>HYPERLINK("https://www.metrocuadrado.com/inmueble/arriendo-apartamento-barranquilla-villa-santos-2-habitaciones-3-banos-1-garajes/22304-M6552717","🔗 Ver")</f>
        <v/>
      </c>
      <c r="M36" s="5" t="inlineStr">
        <is>
          <t>No</t>
        </is>
      </c>
    </row>
    <row r="37">
      <c r="A37" s="5" t="inlineStr">
        <is>
          <t>metrocuadrado</t>
        </is>
      </c>
      <c r="B37" s="5" t="inlineStr">
        <is>
          <t>Riomar</t>
        </is>
      </c>
      <c r="C37" s="6" t="n">
        <v>92</v>
      </c>
      <c r="D37" s="7" t="n">
        <v>3700000</v>
      </c>
      <c r="E37" s="7">
        <f>IF(C37=0,0,D37/C37)</f>
        <v/>
      </c>
      <c r="F37" s="8" t="n">
        <v>0.81118</v>
      </c>
      <c r="G37" s="7">
        <f>E37*F37</f>
        <v/>
      </c>
      <c r="H37" s="8" t="n">
        <v>0.68</v>
      </c>
      <c r="I37" s="5" t="n">
        <v>3</v>
      </c>
      <c r="J37" s="5" t="n">
        <v>3</v>
      </c>
      <c r="K37" s="5" t="n"/>
      <c r="L37" s="9">
        <f>HYPERLINK("https://www.metrocuadrado.com/inmueble/arriendo-apartamento-barranquilla-villa-carolina-3-habitaciones-3-banos-1-garajes/MC6562184","🔗 Ver")</f>
        <v/>
      </c>
      <c r="M37" s="5" t="inlineStr">
        <is>
          <t>No</t>
        </is>
      </c>
    </row>
    <row r="38">
      <c r="A38" s="5" t="inlineStr">
        <is>
          <t>properati</t>
        </is>
      </c>
      <c r="B38" s="5" t="inlineStr">
        <is>
          <t>Ríomar</t>
        </is>
      </c>
      <c r="C38" s="6" t="n">
        <v>70</v>
      </c>
      <c r="D38" s="7" t="n">
        <v>2700000</v>
      </c>
      <c r="E38" s="7">
        <f>IF(C38=0,0,D38/C38)</f>
        <v/>
      </c>
      <c r="F38" s="8" t="n">
        <v>0.853874</v>
      </c>
      <c r="G38" s="7">
        <f>E38*F38</f>
        <v/>
      </c>
      <c r="H38" s="8" t="n">
        <v>0.68</v>
      </c>
      <c r="I38" s="5" t="n">
        <v>3</v>
      </c>
      <c r="J38" s="5" t="n">
        <v>2</v>
      </c>
      <c r="K38" s="5" t="n"/>
      <c r="L38" s="9">
        <f>HYPERLINK("https://www.properati.com.co/detalle/14032-32-f9c9-91e41aa88613-19ed3ae-b412-78d6","🔗 Ver")</f>
        <v/>
      </c>
      <c r="M38" s="5" t="inlineStr">
        <is>
          <t>No</t>
        </is>
      </c>
    </row>
    <row r="39">
      <c r="A39" s="5" t="inlineStr">
        <is>
          <t>properati</t>
        </is>
      </c>
      <c r="B39" s="5" t="inlineStr">
        <is>
          <t>Ríomar</t>
        </is>
      </c>
      <c r="C39" s="6" t="n">
        <v>67</v>
      </c>
      <c r="D39" s="7" t="n">
        <v>2350000</v>
      </c>
      <c r="E39" s="7">
        <f>IF(C39=0,0,D39/C39)</f>
        <v/>
      </c>
      <c r="F39" s="8" t="n">
        <v>0.918144</v>
      </c>
      <c r="G39" s="7">
        <f>E39*F39</f>
        <v/>
      </c>
      <c r="H39" s="8" t="n">
        <v>0.68</v>
      </c>
      <c r="I39" s="5" t="n">
        <v>2</v>
      </c>
      <c r="J39" s="5" t="n">
        <v>2</v>
      </c>
      <c r="K39" s="5" t="n"/>
      <c r="L39" s="9">
        <f>HYPERLINK("https://www.properati.com.co/detalle/14032-32-17ff-488138d714ae-19e4892-983d-7732","🔗 Ver")</f>
        <v/>
      </c>
      <c r="M39" s="5" t="inlineStr">
        <is>
          <t>No</t>
        </is>
      </c>
    </row>
    <row r="40">
      <c r="A40" s="5" t="inlineStr">
        <is>
          <t>properati</t>
        </is>
      </c>
      <c r="B40" s="5" t="inlineStr">
        <is>
          <t>Ríomar</t>
        </is>
      </c>
      <c r="C40" s="6" t="n">
        <v>98</v>
      </c>
      <c r="D40" s="7" t="n">
        <v>3800000</v>
      </c>
      <c r="E40" s="7">
        <f>IF(C40=0,0,D40/C40)</f>
        <v/>
      </c>
      <c r="F40" s="8" t="n">
        <v>0.853874</v>
      </c>
      <c r="G40" s="7">
        <f>E40*F40</f>
        <v/>
      </c>
      <c r="H40" s="8" t="n">
        <v>0.68</v>
      </c>
      <c r="I40" s="5" t="n">
        <v>3</v>
      </c>
      <c r="J40" s="5" t="n">
        <v>2</v>
      </c>
      <c r="K40" s="5" t="n"/>
      <c r="L40" s="9">
        <f>HYPERLINK("https://www.properati.com.co/detalle/14032-32-afcb-29504055bfa2-1914993-a9c2-72b7","🔗 Ver")</f>
        <v/>
      </c>
      <c r="M40" s="5" t="inlineStr">
        <is>
          <t>No</t>
        </is>
      </c>
    </row>
    <row r="41">
      <c r="A41" s="5" t="inlineStr">
        <is>
          <t>properati</t>
        </is>
      </c>
      <c r="B41" s="5" t="inlineStr">
        <is>
          <t>Ríomar</t>
        </is>
      </c>
      <c r="C41" s="6" t="n">
        <v>66</v>
      </c>
      <c r="D41" s="7" t="n">
        <v>2900000</v>
      </c>
      <c r="E41" s="7">
        <f>IF(C41=0,0,D41/C41)</f>
        <v/>
      </c>
      <c r="F41" s="8" t="n">
        <v>0.976571</v>
      </c>
      <c r="G41" s="7">
        <f>E41*F41</f>
        <v/>
      </c>
      <c r="H41" s="8" t="n">
        <v>0.68</v>
      </c>
      <c r="I41" s="5" t="n">
        <v>2</v>
      </c>
      <c r="J41" s="5" t="n">
        <v>2</v>
      </c>
      <c r="K41" s="5" t="n"/>
      <c r="L41" s="9">
        <f>HYPERLINK("https://www.properati.com.co/detalle/14032-32-f8e1-a3da89dd9578-1979b64-9622-7cec","🔗 Ver")</f>
        <v/>
      </c>
      <c r="M41" s="5" t="inlineStr">
        <is>
          <t>Sí</t>
        </is>
      </c>
    </row>
    <row r="42">
      <c r="A42" s="5" t="inlineStr">
        <is>
          <t>properati</t>
        </is>
      </c>
      <c r="B42" s="5" t="inlineStr">
        <is>
          <t>Ríomar</t>
        </is>
      </c>
      <c r="C42" s="6" t="n">
        <v>80</v>
      </c>
      <c r="D42" s="7" t="n">
        <v>3000000</v>
      </c>
      <c r="E42" s="7">
        <f>IF(C42=0,0,D42/C42)</f>
        <v/>
      </c>
      <c r="F42" s="8" t="n">
        <v>0.918144</v>
      </c>
      <c r="G42" s="7">
        <f>E42*F42</f>
        <v/>
      </c>
      <c r="H42" s="8" t="n">
        <v>0.68</v>
      </c>
      <c r="I42" s="5" t="n">
        <v>2</v>
      </c>
      <c r="J42" s="5" t="n">
        <v>2</v>
      </c>
      <c r="K42" s="5" t="n"/>
      <c r="L42" s="9">
        <f>HYPERLINK("https://www.properati.com.co/detalle/14032-32-d8c8-60915bd2cf10-199bcbd-a856-74aa","🔗 Ver")</f>
        <v/>
      </c>
      <c r="M42" s="5" t="inlineStr">
        <is>
          <t>No</t>
        </is>
      </c>
    </row>
    <row r="43">
      <c r="A43" s="5" t="inlineStr">
        <is>
          <t>ciencuadras</t>
        </is>
      </c>
      <c r="B43" s="5" t="inlineStr">
        <is>
          <t>VILLA CAROLINA</t>
        </is>
      </c>
      <c r="C43" s="6" t="n">
        <v>68</v>
      </c>
      <c r="D43" s="7" t="n">
        <v>2550000</v>
      </c>
      <c r="E43" s="7">
        <f>IF(C43=0,0,D43/C43)</f>
        <v/>
      </c>
      <c r="F43" s="8" t="n">
        <v>0.981955</v>
      </c>
      <c r="G43" s="7">
        <f>E43*F43</f>
        <v/>
      </c>
      <c r="H43" s="8" t="n">
        <v>0.5600000000000001</v>
      </c>
      <c r="I43" s="5" t="n">
        <v>3</v>
      </c>
      <c r="J43" s="5" t="n">
        <v>2</v>
      </c>
      <c r="K43" s="5" t="n"/>
      <c r="L43" s="9">
        <f>HYPERLINK("https://www.ciencuadras.com/inmueble/apartamento-en-arriendo-en-villa-carolina-barranquilla-3779409","🔗 Ver")</f>
        <v/>
      </c>
      <c r="M43" s="5" t="inlineStr">
        <is>
          <t>Sí</t>
        </is>
      </c>
    </row>
    <row r="44">
      <c r="A44" s="5" t="inlineStr">
        <is>
          <t>ciencuadras</t>
        </is>
      </c>
      <c r="B44" s="5" t="inlineStr">
        <is>
          <t>ALTOS DEL PRADO</t>
        </is>
      </c>
      <c r="C44" s="6" t="n">
        <v>68</v>
      </c>
      <c r="D44" s="7" t="n">
        <v>2130000</v>
      </c>
      <c r="E44" s="7">
        <f>IF(C44=0,0,D44/C44)</f>
        <v/>
      </c>
      <c r="F44" s="8" t="n">
        <v>1.193587</v>
      </c>
      <c r="G44" s="7">
        <f>E44*F44</f>
        <v/>
      </c>
      <c r="H44" s="8" t="n">
        <v>0.5600000000000001</v>
      </c>
      <c r="I44" s="5" t="n">
        <v>2</v>
      </c>
      <c r="J44" s="5" t="n">
        <v>2</v>
      </c>
      <c r="K44" s="5" t="n"/>
      <c r="L44" s="9">
        <f>HYPERLINK("https://www.ciencuadras.com/inmueble/apartamento-en-arriendo-en-altos-del-prado-barranquilla-3789540","🔗 Ver")</f>
        <v/>
      </c>
      <c r="M44" s="5" t="inlineStr">
        <is>
          <t>Sí</t>
        </is>
      </c>
    </row>
    <row r="45">
      <c r="A45" s="5" t="inlineStr">
        <is>
          <t>ciencuadras</t>
        </is>
      </c>
      <c r="B45" s="5" t="inlineStr">
        <is>
          <t>ALTOS DE RIOMAR</t>
        </is>
      </c>
      <c r="C45" s="6" t="n">
        <v>67</v>
      </c>
      <c r="D45" s="7" t="n">
        <v>2700000</v>
      </c>
      <c r="E45" s="7">
        <f>IF(C45=0,0,D45/C45)</f>
        <v/>
      </c>
      <c r="F45" s="8" t="n">
        <v>0.918144</v>
      </c>
      <c r="G45" s="7">
        <f>E45*F45</f>
        <v/>
      </c>
      <c r="H45" s="8" t="n">
        <v>0.5600000000000001</v>
      </c>
      <c r="I45" s="5" t="n">
        <v>2</v>
      </c>
      <c r="J45" s="5" t="n">
        <v>2</v>
      </c>
      <c r="K45" s="5" t="n"/>
      <c r="L45" s="9">
        <f>HYPERLINK("https://www.ciencuadras.com/inmueble/apartamento-en-arriendo-en-altos-de-riomar-barranquilla-3782455","🔗 Ver")</f>
        <v/>
      </c>
      <c r="M45" s="5" t="inlineStr">
        <is>
          <t>Sí</t>
        </is>
      </c>
    </row>
    <row r="46">
      <c r="A46" s="5" t="inlineStr">
        <is>
          <t>ciencuadras</t>
        </is>
      </c>
      <c r="B46" s="5" t="inlineStr">
        <is>
          <t>ANDALUCIA</t>
        </is>
      </c>
      <c r="C46" s="6" t="n">
        <v>81</v>
      </c>
      <c r="D46" s="7" t="n">
        <v>3207000</v>
      </c>
      <c r="E46" s="7">
        <f>IF(C46=0,0,D46/C46)</f>
        <v/>
      </c>
      <c r="F46" s="8" t="n">
        <v>0.962701</v>
      </c>
      <c r="G46" s="7">
        <f>E46*F46</f>
        <v/>
      </c>
      <c r="H46" s="8" t="n">
        <v>0.5600000000000001</v>
      </c>
      <c r="I46" s="5" t="n">
        <v>3</v>
      </c>
      <c r="J46" s="5" t="n">
        <v>2</v>
      </c>
      <c r="K46" s="5" t="n"/>
      <c r="L46" s="9">
        <f>HYPERLINK("https://www.ciencuadras.com/inmueble/apartamento-en-arriendo-en-andalucia-barranquilla-3769855","🔗 Ver")</f>
        <v/>
      </c>
      <c r="M46" s="5" t="inlineStr">
        <is>
          <t>Sí</t>
        </is>
      </c>
    </row>
    <row r="47">
      <c r="A47" s="5" t="inlineStr">
        <is>
          <t>ciencuadras</t>
        </is>
      </c>
      <c r="B47" s="5" t="inlineStr">
        <is>
          <t>VILLA SANTOS</t>
        </is>
      </c>
      <c r="C47" s="6" t="n">
        <v>94</v>
      </c>
      <c r="D47" s="7" t="n">
        <v>3500000</v>
      </c>
      <c r="E47" s="7">
        <f>IF(C47=0,0,D47/C47)</f>
        <v/>
      </c>
      <c r="F47" s="8" t="n">
        <v>0.832908</v>
      </c>
      <c r="G47" s="7">
        <f>E47*F47</f>
        <v/>
      </c>
      <c r="H47" s="8" t="n">
        <v>0.5600000000000001</v>
      </c>
      <c r="I47" s="5" t="n">
        <v>3</v>
      </c>
      <c r="J47" s="5" t="n">
        <v>3</v>
      </c>
      <c r="K47" s="5" t="n"/>
      <c r="L47" s="9">
        <f>HYPERLINK("https://www.ciencuadras.com/inmueble/apartamento-en-arriendo-en-villa-santos-barranquilla-3568554","🔗 Ver")</f>
        <v/>
      </c>
      <c r="M47" s="5" t="inlineStr">
        <is>
          <t>No</t>
        </is>
      </c>
    </row>
  </sheetData>
  <conditionalFormatting sqref="G3:G20">
    <cfRule type="expression" priority="1" dxfId="0">
      <formula>ABS(G3-AVERAGE($G$3:$G$20))&gt;2*STDEV($G$3:$G$20)</formula>
    </cfRule>
  </conditionalFormatting>
  <conditionalFormatting sqref="G24:G47">
    <cfRule type="expression" priority="2" dxfId="0">
      <formula>ABS(G24-AVERAGE($G$24:$G$47))&gt;2*STDEV($G$24:$G$47)</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COUNTIF(COMPARABLES!M3:M20,"Sí")</f>
        <v/>
      </c>
    </row>
    <row r="3">
      <c r="A3" s="3" t="inlineStr">
        <is>
          <t>Promedio ponderado /m² (vivo)</t>
        </is>
      </c>
      <c r="B3" s="10">
        <f>IFERROR(SUMPRODUCT((COMPARABLES!M3:M20="Sí")*COMPARABLES!H3:H20*COMPARABLES!G3:G20)/SUMPRODUCT((COMPARABLES!M3:M20="Sí")*COMPARABLES!H3:H20),0)</f>
        <v/>
      </c>
    </row>
    <row r="4">
      <c r="A4" s="3" t="inlineStr">
        <is>
          <t>Promedio sin ponderar /m² (verif.)</t>
        </is>
      </c>
      <c r="B4" s="10">
        <f>IFERROR(AVERAGEIF(COMPARABLES!M3:M20,"Sí",COMPARABLES!G3:G20),0)</f>
        <v/>
      </c>
    </row>
    <row r="5">
      <c r="A5" s="3" t="inlineStr">
        <is>
          <t>CV ponderado (%) — cálculo ACM</t>
        </is>
      </c>
      <c r="B5" s="11" t="n">
        <v>11.19</v>
      </c>
    </row>
    <row r="6">
      <c r="A6" s="3" t="inlineStr">
        <is>
          <t>Precio/m² adoptado</t>
        </is>
      </c>
      <c r="B6" s="10">
        <f t="array" ref="B6">MAX(B3,MEDIAN(IF(COMPARABLES!M3:M20="Sí",COMPARABLES!E3:E20)))</f>
        <v/>
      </c>
    </row>
    <row r="7">
      <c r="A7" s="3" t="inlineStr">
        <is>
          <t>Área del sujeto (m²)</t>
        </is>
      </c>
      <c r="B7" s="11" t="n">
        <v>80</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COUNTIF(COMPARABLES!M24:M47,"Sí")</f>
        <v/>
      </c>
    </row>
    <row r="12">
      <c r="A12" s="3" t="inlineStr">
        <is>
          <t>Promedio ponderado /m² (vivo)</t>
        </is>
      </c>
      <c r="B12" s="10">
        <f>IFERROR(SUMPRODUCT((COMPARABLES!M24:M47="Sí")*COMPARABLES!H24:H47*COMPARABLES!G24:G47)/SUMPRODUCT((COMPARABLES!M24:M47="Sí")*COMPARABLES!H24:H47),0)</f>
        <v/>
      </c>
    </row>
    <row r="13">
      <c r="A13" s="3" t="inlineStr">
        <is>
          <t>Promedio sin ponderar /m² (verif.)</t>
        </is>
      </c>
      <c r="B13" s="10">
        <f>IFERROR(AVERAGEIF(COMPARABLES!M24:M47,"Sí",COMPARABLES!G24:G47),0)</f>
        <v/>
      </c>
    </row>
    <row r="14">
      <c r="A14" s="3" t="inlineStr">
        <is>
          <t>CV ponderado (%) — cálculo ACM</t>
        </is>
      </c>
      <c r="B14" s="11" t="n">
        <v>17.5</v>
      </c>
    </row>
    <row r="15">
      <c r="A15" s="3" t="inlineStr">
        <is>
          <t>Precio/m² adoptado</t>
        </is>
      </c>
      <c r="B15" s="10">
        <f>B12</f>
        <v/>
      </c>
    </row>
    <row r="16">
      <c r="A16" s="3" t="inlineStr">
        <is>
          <t>Área del sujeto (m²)</t>
        </is>
      </c>
      <c r="B16" s="11" t="n">
        <v>80</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35</v>
      </c>
    </row>
    <row r="4">
      <c r="A4" s="3" t="inlineStr">
        <is>
          <t>Vida útil (años)</t>
        </is>
      </c>
      <c r="B4" s="2" t="n">
        <v>100</v>
      </c>
    </row>
    <row r="5">
      <c r="A5" s="3" t="inlineStr">
        <is>
          <t>Precio/m² a nuevo (depreciado)</t>
        </is>
      </c>
      <c r="B5" s="10" t="n">
        <v>3101579</v>
      </c>
    </row>
    <row r="6">
      <c r="A6" s="3" t="inlineStr">
        <is>
          <t>Área (m²)</t>
        </is>
      </c>
      <c r="B6" s="11" t="n">
        <v>80</v>
      </c>
    </row>
    <row r="7">
      <c r="A7" s="3" t="inlineStr">
        <is>
          <t>Valor por costo de reposición</t>
        </is>
      </c>
      <c r="B7" s="10" t="n">
        <v>248126320</v>
      </c>
    </row>
    <row r="8">
      <c r="A8" s="3" t="inlineStr">
        <is>
          <t>% terreno</t>
        </is>
      </c>
      <c r="B8" s="11" t="n">
        <v>22.9</v>
      </c>
    </row>
    <row r="9">
      <c r="A9" s="3" t="inlineStr">
        <is>
          <t>% construcción</t>
        </is>
      </c>
      <c r="B9" s="11" t="n">
        <v>77.09999999999999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8"/>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TRESCIENTOS VEINTIUNO MILLONES OCHOCIENTOS TREINTA Y NUEVE MIL OCHENTA Y UNO PESOS MONEDA CORRIENTE</t>
        </is>
      </c>
    </row>
    <row r="5">
      <c r="A5" s="3" t="inlineStr">
        <is>
          <t>CANON MENSUAL DE ARRIENDO (vivo)</t>
        </is>
      </c>
      <c r="B5" s="10">
        <f>'ACM ANÁLISIS'!B17</f>
        <v/>
      </c>
    </row>
    <row r="6">
      <c r="A6" s="3" t="inlineStr">
        <is>
          <t>Canon en letras (cálculo inicial)</t>
        </is>
      </c>
      <c r="B6" s="2" t="inlineStr">
        <is>
          <t>TRES MILLONES DOSCIENTOS SESENTA Y NUEVE MIL QUINIENTOS VEINTIUNO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490428120</v>
      </c>
    </row>
    <row r="10">
      <c r="A10" s="3" t="inlineStr">
        <is>
          <t>Costo de reposición (Art. 3)</t>
        </is>
      </c>
      <c r="B10" s="10" t="n">
        <v>248126320</v>
      </c>
    </row>
    <row r="11">
      <c r="A11" s="2" t="n"/>
      <c r="B11" s="2" t="n"/>
    </row>
    <row r="12">
      <c r="A12" s="1" t="inlineStr">
        <is>
          <t>Precio recomendado (estrategia de venta)</t>
        </is>
      </c>
      <c r="B12" s="2" t="n"/>
    </row>
    <row r="13">
      <c r="A13" s="3" t="inlineStr">
        <is>
          <t>Precio de mercado (valor adoptado)</t>
        </is>
      </c>
      <c r="B13" s="10">
        <f>B3</f>
        <v/>
      </c>
    </row>
    <row r="14">
      <c r="A14" s="3" t="inlineStr">
        <is>
          <t>Promedio /m² ACM</t>
        </is>
      </c>
      <c r="B14" s="10">
        <f>IFERROR(B3/80.0,0)</f>
        <v/>
      </c>
    </row>
    <row r="15">
      <c r="A15" s="3" t="inlineStr">
        <is>
          <t>Precio máximo (−2 %)</t>
        </is>
      </c>
      <c r="B15" s="10">
        <f>B3*0.98</f>
        <v/>
      </c>
    </row>
    <row r="16">
      <c r="A16" s="3" t="inlineStr">
        <is>
          <t>Por debajo (−10 %)</t>
        </is>
      </c>
      <c r="B16" s="10">
        <f>B3*0.1</f>
        <v/>
      </c>
    </row>
    <row r="17">
      <c r="A17" s="3" t="inlineStr">
        <is>
          <t>PRECIO IDEAL</t>
        </is>
      </c>
      <c r="B17" s="12">
        <f>B3*0.9</f>
        <v/>
      </c>
    </row>
    <row r="18">
      <c r="A18" s="2" t="n"/>
      <c r="B18" s="2" t="n"/>
    </row>
    <row r="19">
      <c r="A19" s="3" t="inlineStr">
        <is>
          <t>Asimetría venta / CV homogéneo</t>
        </is>
      </c>
      <c r="B19" s="2" t="inlineStr">
        <is>
          <t>0.417 / no (&gt;7,5%)</t>
        </is>
      </c>
    </row>
    <row r="20">
      <c r="A20" s="3" t="inlineStr">
        <is>
          <t>Período de mercadeo</t>
        </is>
      </c>
      <c r="B20" s="2" t="inlineStr">
        <is>
          <t>6 a 9 meses</t>
        </is>
      </c>
    </row>
    <row r="21">
      <c r="A21" s="3" t="inlineStr">
        <is>
          <t>Vigencia</t>
        </is>
      </c>
      <c r="B21" s="2" t="inlineStr">
        <is>
          <t>12 meses desde la fecha del estudio (vigencia usual del avalúo comercial).</t>
        </is>
      </c>
    </row>
    <row r="22">
      <c r="A22" s="2" t="n"/>
      <c r="B22" s="2" t="n"/>
    </row>
    <row r="23">
      <c r="A23" s="3" t="inlineStr">
        <is>
          <t>Índice de sector</t>
        </is>
      </c>
      <c r="B23" s="2" t="inlineStr">
        <is>
          <t>datos de mercado (barrio n=24, pool=35)</t>
        </is>
      </c>
    </row>
    <row r="24">
      <c r="A24" s="3" t="inlineStr">
        <is>
          <t>Mezcla de fuentes (venta)</t>
        </is>
      </c>
      <c r="B24" s="2" t="inlineStr">
        <is>
          <t>fincaraiz: 7, metrocuadrado: 2, properati: 1, ciencuadras: 1</t>
        </is>
      </c>
    </row>
    <row r="25">
      <c r="A25" s="3" t="inlineStr">
        <is>
          <t>Confianza venta / arriendo</t>
        </is>
      </c>
      <c r="B25" s="2" t="inlineStr">
        <is>
          <t>media / media</t>
        </is>
      </c>
    </row>
    <row r="26">
      <c r="A26" s="3" t="inlineStr">
        <is>
          <t>Fuente autoritativa</t>
        </is>
      </c>
      <c r="B26" s="2" t="inlineStr">
        <is>
          <t>ninguna</t>
        </is>
      </c>
    </row>
    <row r="27">
      <c r="A27" s="2" t="n"/>
      <c r="B27" s="2" t="n"/>
    </row>
    <row r="28">
      <c r="A28" s="13" t="inlineStr">
        <is>
          <t>Los valores marcados (vivo) se recalculan al cambiar la columna INCLUIR EN ACM en la hoja COMPARABLES. El valor en letras corresponde al cálculo inicial.</t>
        </is>
      </c>
      <c r="B28" s="2" t="n"/>
    </row>
    <row r="29">
      <c r="A29" s="2" t="n"/>
      <c r="B29" s="2" t="n"/>
    </row>
    <row r="30">
      <c r="A30" s="1" t="inlineStr">
        <is>
          <t>Fundamento normativo</t>
        </is>
      </c>
      <c r="B30" s="2" t="n"/>
    </row>
    <row r="31">
      <c r="A31" s="14" t="inlineStr">
        <is>
          <t>• Decreto 1420 de 1998 (compilado en Decreto 1170 de 2015), Arts. 3 y 25.</t>
        </is>
      </c>
      <c r="B31" s="2" t="n"/>
    </row>
    <row r="32">
      <c r="A32" s="14" t="inlineStr">
        <is>
          <t>• Resolución IGAC 620 de 2008, Arts. 1–4 (métodos), 10 y 18 (PH / área privada), 11 (estadística).</t>
        </is>
      </c>
      <c r="B32" s="2" t="n"/>
    </row>
    <row r="33">
      <c r="A33" s="14" t="inlineStr">
        <is>
          <t>• Ley 1673 de 2013 y Decreto 556 de 2014 (profesión del avaluador; Registro Abierto de Avaluadores).</t>
        </is>
      </c>
      <c r="B33" s="2" t="n"/>
    </row>
    <row r="34">
      <c r="A34" s="14" t="inlineStr">
        <is>
          <t>• Procedimiento IGAC PC-VAL-03 (Resolución 1040 de 2023).</t>
        </is>
      </c>
      <c r="B34" s="2" t="n"/>
    </row>
    <row r="35">
      <c r="A35" s="2" t="n"/>
      <c r="B35" s="2" t="n"/>
    </row>
    <row r="36">
      <c r="A36"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36" s="2" t="n"/>
    </row>
    <row r="37">
      <c r="A37" s="2" t="n"/>
      <c r="B37" s="2" t="n"/>
    </row>
    <row r="38">
      <c r="A38" s="2" t="n"/>
      <c r="B38" s="2" t="n"/>
    </row>
    <row r="39">
      <c r="A39" s="2" t="n"/>
      <c r="B39" s="2" t="n"/>
    </row>
    <row r="40">
      <c r="A40" s="2" t="n"/>
      <c r="B40" s="2" t="n"/>
    </row>
    <row r="41">
      <c r="A41" s="1" t="inlineStr">
        <is>
          <t>Observaciones</t>
        </is>
      </c>
      <c r="B41" s="2" t="n"/>
    </row>
    <row r="42">
      <c r="A42" s="2" t="inlineStr">
        <is>
          <t>• 26 comparable(s) sin antigüedad publicada: se supuso una antigüedad típica de mercado (~20 años) para depreciar el inmueble del sujeto (35 años) frente a ellos (Fitto-Corvini).</t>
        </is>
      </c>
      <c r="B42" s="2" t="n"/>
    </row>
    <row r="43">
      <c r="A43" s="2" t="inlineStr">
        <is>
          <t>• Comparables de venta: 7 excluido(s) por precio fuera de la norma del sector (sobreprecio o subprecio atípico respecto a la mediana homogenizada).</t>
        </is>
      </c>
      <c r="B43" s="2" t="n"/>
    </row>
    <row r="44">
      <c r="A44" s="2" t="inlineStr">
        <is>
          <t>• Venta: el valor adoptado se ancló a la MEDIANA de precio/m² del sector (nivel típico del barrio); la homogenización por antigüedad lo situaba por debajo de ese nivel.</t>
        </is>
      </c>
      <c r="B44" s="2" t="n"/>
    </row>
    <row r="45">
      <c r="A45" s="2" t="inlineStr">
        <is>
          <t>• CV de venta = 11.19% &gt; 7,5% (Res. 620/2008, Art. 11): la muestra no es homogénea; se adopta la MEDIA ponderada del conjunto depurado como valor más probable (referencial) y se recomienda reforzar el número de comparables.</t>
        </is>
      </c>
      <c r="B45" s="2" t="n"/>
    </row>
    <row r="46">
      <c r="A46" s="2" t="inlineStr">
        <is>
          <t>• Comparables de arriendo: 10 excluido(s) por precio fuera de la norma del sector (sobreprecio o subprecio atípico respecto a la mediana homogenizada).</t>
        </is>
      </c>
      <c r="B46" s="2" t="n"/>
    </row>
    <row r="47">
      <c r="A47" s="2" t="inlineStr">
        <is>
          <t>• CV de arriendo = 17.5% &gt; 7,5% (Res. 620/2008, Art. 11): la muestra no es homogénea; se adopta la MEDIA ponderada del conjunto depurado como valor más probable (referencial) y se recomienda reforzar el número de comparables.</t>
        </is>
      </c>
      <c r="B47" s="2" t="n"/>
    </row>
    <row r="48">
      <c r="A48" s="2" t="inlineStr">
        <is>
          <t>• Cap rate mensual 1.016% fuera del rango sano (0.3%-0.9%); revisar comparables.</t>
        </is>
      </c>
      <c r="B48" s="2" t="n"/>
    </row>
  </sheetData>
  <mergeCells count="1">
    <mergeCell ref="A36:B3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2026-07-05T22:56:38Z</dcterms:created>
  <dcterms:modified xmlns:dcterms="http://purl.org/dc/terms/" xmlns:xsi="http://www.w3.org/2001/XMLSchema-instance" xsi:type="dcterms:W3CDTF">2026-07-05T22:56:38Z</dcterms:modified>
</cp:coreProperties>
</file>