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040-79721</t>
        </is>
      </c>
    </row>
    <row r="4">
      <c r="A4" s="3" t="inlineStr">
        <is>
          <t>Dirección</t>
        </is>
      </c>
      <c r="B4" s="2" t="inlineStr">
        <is>
          <t>Carrera 50 No. 80 - 273 Apto 123A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101</v>
      </c>
    </row>
    <row r="9">
      <c r="A9" s="3" t="inlineStr">
        <is>
          <t>Área construida (m²)</t>
        </is>
      </c>
      <c r="B9" s="2" t="n"/>
    </row>
    <row r="10">
      <c r="A10" s="3" t="inlineStr">
        <is>
          <t>Piso</t>
        </is>
      </c>
      <c r="B10" s="2" t="n"/>
    </row>
    <row r="11">
      <c r="A11" s="3" t="inlineStr">
        <is>
          <t>Pisos del edificio</t>
        </is>
      </c>
      <c r="B11" s="2" t="n"/>
    </row>
    <row r="12">
      <c r="A12" s="3" t="inlineStr">
        <is>
          <t>Habitaciones</t>
        </is>
      </c>
      <c r="B12" s="2" t="n">
        <v>2</v>
      </c>
    </row>
    <row r="13">
      <c r="A13" s="3" t="inlineStr">
        <is>
          <t>Baños</t>
        </is>
      </c>
      <c r="B13" s="2" t="n">
        <v>1</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row>
    <row r="19">
      <c r="A19" s="3" t="inlineStr">
        <is>
          <t>Código catastral</t>
        </is>
      </c>
      <c r="B19" s="2" t="inlineStr"/>
    </row>
    <row r="20">
      <c r="A20" s="3" t="inlineStr">
        <is>
          <t>NUPRE</t>
        </is>
      </c>
      <c r="B20" s="2" t="n"/>
    </row>
    <row r="21">
      <c r="A21" s="3" t="inlineStr">
        <is>
          <t>Estado del folio</t>
        </is>
      </c>
      <c r="B21" s="2" t="inlineStr"/>
    </row>
    <row r="22">
      <c r="A22" s="3" t="inlineStr">
        <is>
          <t>Gravámenes activos</t>
        </is>
      </c>
      <c r="B22" s="2" t="inlineStr">
        <is>
          <t>Sin gravámenes detectados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Altos del prado</t>
        </is>
      </c>
      <c r="C3" s="6" t="n">
        <v>100</v>
      </c>
      <c r="D3" s="7" t="n">
        <v>380000000</v>
      </c>
      <c r="E3" s="7">
        <f>IF(C3=0,0,D3/C3)</f>
        <v/>
      </c>
      <c r="F3" s="8" t="n">
        <v>1.034759</v>
      </c>
      <c r="G3" s="7">
        <f>E3*F3</f>
        <v/>
      </c>
      <c r="H3" s="8" t="n">
        <v>1</v>
      </c>
      <c r="I3" s="5" t="n">
        <v>3</v>
      </c>
      <c r="J3" s="5" t="n">
        <v>2</v>
      </c>
      <c r="K3" s="5" t="n">
        <v>4</v>
      </c>
      <c r="L3" s="9">
        <f>HYPERLINK("https://www.fincaraiz.com.co/apartamento-en-venta-en-altos-del-prado-barranquilla/194155042","🔗 Ver")</f>
        <v/>
      </c>
      <c r="M3" s="5" t="inlineStr">
        <is>
          <t>Sí</t>
        </is>
      </c>
    </row>
    <row r="4">
      <c r="A4" s="5" t="inlineStr">
        <is>
          <t>fincaraiz</t>
        </is>
      </c>
      <c r="B4" s="5" t="inlineStr">
        <is>
          <t>El tabor</t>
        </is>
      </c>
      <c r="C4" s="6" t="n">
        <v>98</v>
      </c>
      <c r="D4" s="7" t="n">
        <v>350000000</v>
      </c>
      <c r="E4" s="7">
        <f>IF(C4=0,0,D4/C4)</f>
        <v/>
      </c>
      <c r="F4" s="8" t="n">
        <v>0.689164</v>
      </c>
      <c r="G4" s="7">
        <f>E4*F4</f>
        <v/>
      </c>
      <c r="H4" s="8" t="n">
        <v>1</v>
      </c>
      <c r="I4" s="5" t="n">
        <v>3</v>
      </c>
      <c r="J4" s="5" t="n">
        <v>2</v>
      </c>
      <c r="K4" s="5" t="n">
        <v>5</v>
      </c>
      <c r="L4" s="9">
        <f>HYPERLINK("https://www.fincaraiz.com.co/apartamento-en-venta-en-el-tabor-barranquilla/194155422","🔗 Ver")</f>
        <v/>
      </c>
      <c r="M4" s="5" t="inlineStr">
        <is>
          <t>No</t>
        </is>
      </c>
    </row>
    <row r="5">
      <c r="A5" s="5" t="inlineStr">
        <is>
          <t>fincaraiz</t>
        </is>
      </c>
      <c r="B5" s="5" t="inlineStr">
        <is>
          <t>Altos del prado</t>
        </is>
      </c>
      <c r="C5" s="6" t="n">
        <v>124</v>
      </c>
      <c r="D5" s="7" t="n">
        <v>720000000</v>
      </c>
      <c r="E5" s="7">
        <f>IF(C5=0,0,D5/C5)</f>
        <v/>
      </c>
      <c r="F5" s="8" t="n">
        <v>1.07615</v>
      </c>
      <c r="G5" s="7">
        <f>E5*F5</f>
        <v/>
      </c>
      <c r="H5" s="8" t="n">
        <v>1</v>
      </c>
      <c r="I5" s="5" t="n">
        <v>3</v>
      </c>
      <c r="J5" s="5" t="n">
        <v>2</v>
      </c>
      <c r="K5" s="5" t="n">
        <v>6</v>
      </c>
      <c r="L5" s="9">
        <f>HYPERLINK("https://www.fincaraiz.com.co/apartamento-en-venta-en-altos-del-prado-barranquilla/194152203","🔗 Ver")</f>
        <v/>
      </c>
      <c r="M5" s="5" t="inlineStr">
        <is>
          <t>No</t>
        </is>
      </c>
    </row>
    <row r="6">
      <c r="A6" s="5" t="inlineStr">
        <is>
          <t>fincaraiz</t>
        </is>
      </c>
      <c r="B6" s="5" t="inlineStr">
        <is>
          <t>Altos del prado</t>
        </is>
      </c>
      <c r="C6" s="6" t="n">
        <v>76</v>
      </c>
      <c r="D6" s="7" t="n">
        <v>410000000</v>
      </c>
      <c r="E6" s="7">
        <f>IF(C6=0,0,D6/C6)</f>
        <v/>
      </c>
      <c r="F6" s="8" t="n">
        <v>1.124405</v>
      </c>
      <c r="G6" s="7">
        <f>E6*F6</f>
        <v/>
      </c>
      <c r="H6" s="8" t="n">
        <v>1</v>
      </c>
      <c r="I6" s="5" t="n">
        <v>2</v>
      </c>
      <c r="J6" s="5" t="n">
        <v>2</v>
      </c>
      <c r="K6" s="5" t="n">
        <v>6</v>
      </c>
      <c r="L6" s="9">
        <f>HYPERLINK("https://www.fincaraiz.com.co/apartamento-en-venta-en-altos-del-prado-barranquilla/194153354","🔗 Ver")</f>
        <v/>
      </c>
      <c r="M6" s="5" t="inlineStr">
        <is>
          <t>No</t>
        </is>
      </c>
    </row>
    <row r="7">
      <c r="A7" s="5" t="inlineStr">
        <is>
          <t>fincaraiz</t>
        </is>
      </c>
      <c r="B7" s="5" t="inlineStr">
        <is>
          <t>Villa country</t>
        </is>
      </c>
      <c r="C7" s="6" t="n">
        <v>80</v>
      </c>
      <c r="D7" s="7" t="n">
        <v>460000000</v>
      </c>
      <c r="E7" s="7">
        <f>IF(C7=0,0,D7/C7)</f>
        <v/>
      </c>
      <c r="F7" s="8" t="n">
        <v>0.734429</v>
      </c>
      <c r="G7" s="7">
        <f>E7*F7</f>
        <v/>
      </c>
      <c r="H7" s="8" t="n">
        <v>1</v>
      </c>
      <c r="I7" s="5" t="n">
        <v>2</v>
      </c>
      <c r="J7" s="5" t="n">
        <v>2</v>
      </c>
      <c r="K7" s="5" t="n">
        <v>6</v>
      </c>
      <c r="L7" s="9">
        <f>HYPERLINK("https://www.fincaraiz.com.co/apartamento-en-venta-en-villa-country-barranquilla/194152697","🔗 Ver")</f>
        <v/>
      </c>
      <c r="M7" s="5" t="inlineStr">
        <is>
          <t>Sí</t>
        </is>
      </c>
    </row>
    <row r="8">
      <c r="A8" s="5" t="inlineStr">
        <is>
          <t>fincaraiz</t>
        </is>
      </c>
      <c r="B8" s="5" t="inlineStr">
        <is>
          <t>Altos del prado</t>
        </is>
      </c>
      <c r="C8" s="6" t="n">
        <v>105</v>
      </c>
      <c r="D8" s="7" t="n">
        <v>385000000</v>
      </c>
      <c r="E8" s="7">
        <f>IF(C8=0,0,D8/C8)</f>
        <v/>
      </c>
      <c r="F8" s="8" t="n">
        <v>1.07615</v>
      </c>
      <c r="G8" s="7">
        <f>E8*F8</f>
        <v/>
      </c>
      <c r="H8" s="8" t="n">
        <v>1</v>
      </c>
      <c r="I8" s="5" t="n">
        <v>3</v>
      </c>
      <c r="J8" s="5" t="n">
        <v>2</v>
      </c>
      <c r="K8" s="5" t="n">
        <v>4</v>
      </c>
      <c r="L8" s="9">
        <f>HYPERLINK("https://www.fincaraiz.com.co/apartamento-en-venta-en-altos-del-prado-barranquilla/10428591","🔗 Ver")</f>
        <v/>
      </c>
      <c r="M8" s="5" t="inlineStr">
        <is>
          <t>Sí</t>
        </is>
      </c>
    </row>
    <row r="9">
      <c r="A9" s="5" t="inlineStr">
        <is>
          <t>metrocuadrado</t>
        </is>
      </c>
      <c r="B9" s="5" t="inlineStr">
        <is>
          <t>Alto Prado</t>
        </is>
      </c>
      <c r="C9" s="6" t="n">
        <v>78</v>
      </c>
      <c r="D9" s="7" t="n">
        <v>440000000</v>
      </c>
      <c r="E9" s="7">
        <f>IF(C9=0,0,D9/C9)</f>
        <v/>
      </c>
      <c r="F9" s="8" t="n">
        <v>0.978204</v>
      </c>
      <c r="G9" s="7">
        <f>E9*F9</f>
        <v/>
      </c>
      <c r="H9" s="8" t="n">
        <v>0.68</v>
      </c>
      <c r="I9" s="5" t="n">
        <v>2</v>
      </c>
      <c r="J9" s="5" t="n">
        <v>2</v>
      </c>
      <c r="K9" s="5" t="n"/>
      <c r="L9" s="9">
        <f>HYPERLINK("https://www.metrocuadrado.com/inmueble/venta-apartamento-barranquilla-ub.-altos-de-parque-2-habitaciones-2-banos-1-garajes/MC5856334","🔗 Ver")</f>
        <v/>
      </c>
      <c r="M9" s="5" t="inlineStr">
        <is>
          <t>No</t>
        </is>
      </c>
    </row>
    <row r="10">
      <c r="A10" s="5" t="inlineStr">
        <is>
          <t>ciencuadras</t>
        </is>
      </c>
      <c r="B10" s="5" t="inlineStr">
        <is>
          <t>ALTOS DEL PRADO</t>
        </is>
      </c>
      <c r="C10" s="6" t="n">
        <v>106</v>
      </c>
      <c r="D10" s="7" t="n">
        <v>450000000</v>
      </c>
      <c r="E10" s="7">
        <f>IF(C10=0,0,D10/C10)</f>
        <v/>
      </c>
      <c r="F10" s="8" t="n">
        <v>1.153396</v>
      </c>
      <c r="G10" s="7">
        <f>E10*F10</f>
        <v/>
      </c>
      <c r="H10" s="8" t="n">
        <v>0.5600000000000001</v>
      </c>
      <c r="I10" s="5" t="n">
        <v>3</v>
      </c>
      <c r="J10" s="5" t="n">
        <v>2</v>
      </c>
      <c r="K10" s="5" t="n"/>
      <c r="L10" s="9">
        <f>HYPERLINK("https://www.ciencuadras.com/inmueble/apartamento-en-venta-en-altos-del-prado-barranquilla-3455684","🔗 Ver")</f>
        <v/>
      </c>
      <c r="M10" s="5" t="inlineStr">
        <is>
          <t>Sí</t>
        </is>
      </c>
    </row>
    <row r="11">
      <c r="A11" s="5" t="inlineStr">
        <is>
          <t>ciencuadras</t>
        </is>
      </c>
      <c r="B11" s="5" t="inlineStr">
        <is>
          <t>ALTOS DEL LIMON</t>
        </is>
      </c>
      <c r="C11" s="6" t="n">
        <v>123</v>
      </c>
      <c r="D11" s="7" t="n">
        <v>600000000</v>
      </c>
      <c r="E11" s="7">
        <f>IF(C11=0,0,D11/C11)</f>
        <v/>
      </c>
      <c r="F11" s="8" t="n">
        <v>0.835794</v>
      </c>
      <c r="G11" s="7">
        <f>E11*F11</f>
        <v/>
      </c>
      <c r="H11" s="8" t="n">
        <v>0.5600000000000001</v>
      </c>
      <c r="I11" s="5" t="n">
        <v>3</v>
      </c>
      <c r="J11" s="5" t="n">
        <v>2</v>
      </c>
      <c r="K11" s="5" t="n"/>
      <c r="L11" s="9">
        <f>HYPERLINK("https://www.ciencuadras.com/inmueble/apartamento-en-arriendo-o-venta-en-altos-del-limon-barranquilla-3736469","🔗 Ver")</f>
        <v/>
      </c>
      <c r="M11" s="5" t="inlineStr">
        <is>
          <t>Sí</t>
        </is>
      </c>
    </row>
    <row r="12">
      <c r="A12" s="5" t="inlineStr">
        <is>
          <t>ciencuadras</t>
        </is>
      </c>
      <c r="B12" s="5" t="inlineStr">
        <is>
          <t>ANDALUCIA</t>
        </is>
      </c>
      <c r="C12" s="6" t="n">
        <v>87.59999999999999</v>
      </c>
      <c r="D12" s="7" t="n">
        <v>380000000</v>
      </c>
      <c r="E12" s="7">
        <f>IF(C12=0,0,D12/C12)</f>
        <v/>
      </c>
      <c r="F12" s="8" t="n">
        <v>0.881082</v>
      </c>
      <c r="G12" s="7">
        <f>E12*F12</f>
        <v/>
      </c>
      <c r="H12" s="8" t="n">
        <v>0.5600000000000001</v>
      </c>
      <c r="I12" s="5" t="n">
        <v>2</v>
      </c>
      <c r="J12" s="5" t="n">
        <v>2</v>
      </c>
      <c r="K12" s="5" t="n"/>
      <c r="L12" s="9">
        <f>HYPERLINK("https://www.ciencuadras.com/inmueble/apartamento-en-venta-en-andalucia-barranquilla-3291892","🔗 Ver")</f>
        <v/>
      </c>
      <c r="M12" s="5" t="inlineStr">
        <is>
          <t>Sí</t>
        </is>
      </c>
    </row>
    <row r="13">
      <c r="A13" s="2" t="n"/>
      <c r="B13" s="2" t="n"/>
      <c r="C13" s="2" t="n"/>
      <c r="D13" s="2" t="n"/>
      <c r="E13" s="2" t="n"/>
      <c r="F13" s="2" t="n"/>
      <c r="G13" s="2" t="n"/>
      <c r="H13" s="2" t="n"/>
      <c r="I13" s="2" t="n"/>
      <c r="J13" s="2" t="n"/>
      <c r="K13" s="2" t="n"/>
      <c r="L13" s="2" t="n"/>
      <c r="M13" s="2" t="n"/>
    </row>
    <row r="14">
      <c r="A14" s="1" t="inlineStr">
        <is>
          <t>COMPARABLES DE ARRIENDO</t>
        </is>
      </c>
      <c r="B14" s="2" t="n"/>
      <c r="C14" s="2" t="n"/>
      <c r="D14" s="2" t="n"/>
      <c r="E14" s="2" t="n"/>
      <c r="F14" s="2" t="n"/>
      <c r="G14" s="2" t="n"/>
      <c r="H14" s="2" t="n"/>
      <c r="I14" s="2" t="n"/>
      <c r="J14" s="2" t="n"/>
      <c r="K14" s="2" t="n"/>
      <c r="L14" s="2" t="n"/>
      <c r="M14" s="2" t="n"/>
    </row>
    <row r="15">
      <c r="A15" s="4" t="inlineStr">
        <is>
          <t>Portal</t>
        </is>
      </c>
      <c r="B15" s="4" t="inlineStr">
        <is>
          <t>Barrio</t>
        </is>
      </c>
      <c r="C15" s="4" t="inlineStr">
        <is>
          <t>Área m²</t>
        </is>
      </c>
      <c r="D15" s="4" t="inlineStr">
        <is>
          <t>Precio (COP)</t>
        </is>
      </c>
      <c r="E15" s="4" t="inlineStr">
        <is>
          <t>Precio/m²</t>
        </is>
      </c>
      <c r="F15" s="4" t="inlineStr">
        <is>
          <t>Factor homog.</t>
        </is>
      </c>
      <c r="G15" s="4" t="inlineStr">
        <is>
          <t>Precio/m² homog.</t>
        </is>
      </c>
      <c r="H15" s="4" t="inlineStr">
        <is>
          <t>Peso fuente</t>
        </is>
      </c>
      <c r="I15" s="4" t="inlineStr">
        <is>
          <t>Hab</t>
        </is>
      </c>
      <c r="J15" s="4" t="inlineStr">
        <is>
          <t>Baños</t>
        </is>
      </c>
      <c r="K15" s="4" t="inlineStr">
        <is>
          <t>Estrato</t>
        </is>
      </c>
      <c r="L15" s="4" t="inlineStr">
        <is>
          <t>Enlace</t>
        </is>
      </c>
      <c r="M15" s="4" t="inlineStr">
        <is>
          <t>INCLUIR EN ACM</t>
        </is>
      </c>
    </row>
    <row r="16">
      <c r="A16" s="5" t="inlineStr">
        <is>
          <t>fincaraiz</t>
        </is>
      </c>
      <c r="B16" s="5" t="inlineStr">
        <is>
          <t>Altos del prado</t>
        </is>
      </c>
      <c r="C16" s="6" t="n">
        <v>112</v>
      </c>
      <c r="D16" s="7" t="n">
        <v>4000000</v>
      </c>
      <c r="E16" s="7">
        <f>IF(C16=0,0,D16/C16)</f>
        <v/>
      </c>
      <c r="F16" s="8" t="n">
        <v>0.848963</v>
      </c>
      <c r="G16" s="7">
        <f>E16*F16</f>
        <v/>
      </c>
      <c r="H16" s="8" t="n">
        <v>1</v>
      </c>
      <c r="I16" s="5" t="n">
        <v>3</v>
      </c>
      <c r="J16" s="5" t="n">
        <v>2</v>
      </c>
      <c r="K16" s="5" t="n">
        <v>6</v>
      </c>
      <c r="L16" s="9">
        <f>HYPERLINK("https://www.fincaraiz.com.co/apartamento-en-arriendo-en-altos-del-prado-barranquilla/193964748","🔗 Ver")</f>
        <v/>
      </c>
      <c r="M16" s="5" t="inlineStr">
        <is>
          <t>Sí</t>
        </is>
      </c>
    </row>
    <row r="17">
      <c r="A17" s="5" t="inlineStr">
        <is>
          <t>metrocuadrado</t>
        </is>
      </c>
      <c r="B17" s="5" t="inlineStr">
        <is>
          <t>Alto Prado</t>
        </is>
      </c>
      <c r="C17" s="6" t="n">
        <v>82</v>
      </c>
      <c r="D17" s="7" t="n">
        <v>2500000</v>
      </c>
      <c r="E17" s="7">
        <f>IF(C17=0,0,D17/C17)</f>
        <v/>
      </c>
      <c r="F17" s="8" t="n">
        <v>0.872633</v>
      </c>
      <c r="G17" s="7">
        <f>E17*F17</f>
        <v/>
      </c>
      <c r="H17" s="8" t="n">
        <v>0.68</v>
      </c>
      <c r="I17" s="5" t="n">
        <v>3</v>
      </c>
      <c r="J17" s="5" t="n">
        <v>2</v>
      </c>
      <c r="K17" s="5" t="n"/>
      <c r="L17" s="9">
        <f>HYPERLINK("https://www.metrocuadrado.com/inmueble/arriendo-apartamento-barranquilla-los-alpes-3-habitaciones-2-banos-1-garajes/9889-M4361051","🔗 Ver")</f>
        <v/>
      </c>
      <c r="M17" s="5" t="inlineStr">
        <is>
          <t>Sí</t>
        </is>
      </c>
    </row>
    <row r="18">
      <c r="A18" s="5" t="inlineStr">
        <is>
          <t>metrocuadrado</t>
        </is>
      </c>
      <c r="B18" s="5" t="inlineStr">
        <is>
          <t>Alto Prado</t>
        </is>
      </c>
      <c r="C18" s="6" t="n">
        <v>79</v>
      </c>
      <c r="D18" s="7" t="n">
        <v>2474000</v>
      </c>
      <c r="E18" s="7">
        <f>IF(C18=0,0,D18/C18)</f>
        <v/>
      </c>
      <c r="F18" s="8" t="n">
        <v>0.884082</v>
      </c>
      <c r="G18" s="7">
        <f>E18*F18</f>
        <v/>
      </c>
      <c r="H18" s="8" t="n">
        <v>0.68</v>
      </c>
      <c r="I18" s="5" t="n">
        <v>3</v>
      </c>
      <c r="J18" s="5" t="n">
        <v>2</v>
      </c>
      <c r="K18" s="5" t="n"/>
      <c r="L18" s="9">
        <f>HYPERLINK("https://www.metrocuadrado.com/inmueble/arriendo-apartamento-barranquilla-villa-carolina-3-habitaciones-2-banos-1-garajes/MC6886173","🔗 Ver")</f>
        <v/>
      </c>
      <c r="M18" s="5" t="inlineStr">
        <is>
          <t>Sí</t>
        </is>
      </c>
    </row>
    <row r="19">
      <c r="A19" s="5" t="inlineStr">
        <is>
          <t>ciencuadras</t>
        </is>
      </c>
      <c r="B19" s="5" t="inlineStr">
        <is>
          <t>LOS ALPES</t>
        </is>
      </c>
      <c r="C19" s="6" t="n">
        <v>92</v>
      </c>
      <c r="D19" s="7" t="n">
        <v>3000000</v>
      </c>
      <c r="E19" s="7">
        <f>IF(C19=0,0,D19/C19)</f>
        <v/>
      </c>
      <c r="F19" s="8" t="n">
        <v>0.815917</v>
      </c>
      <c r="G19" s="7">
        <f>E19*F19</f>
        <v/>
      </c>
      <c r="H19" s="8" t="n">
        <v>0.5600000000000001</v>
      </c>
      <c r="I19" s="5" t="n">
        <v>3</v>
      </c>
      <c r="J19" s="5" t="n">
        <v>2</v>
      </c>
      <c r="K19" s="5" t="n"/>
      <c r="L19" s="9">
        <f>HYPERLINK("https://www.ciencuadras.com/inmueble/apartamento-en-arriendo-en-los-alpes-barranquilla-3477113","🔗 Ver")</f>
        <v/>
      </c>
      <c r="M19" s="5" t="inlineStr">
        <is>
          <t>Sí</t>
        </is>
      </c>
    </row>
    <row r="20">
      <c r="A20" s="5" t="inlineStr">
        <is>
          <t>ciencuadras</t>
        </is>
      </c>
      <c r="B20" s="5" t="inlineStr">
        <is>
          <t>VILLA SANTOS</t>
        </is>
      </c>
      <c r="C20" s="6" t="n">
        <v>100</v>
      </c>
      <c r="D20" s="7" t="n">
        <v>3510867</v>
      </c>
      <c r="E20" s="7">
        <f>IF(C20=0,0,D20/C20)</f>
        <v/>
      </c>
      <c r="F20" s="8" t="n">
        <v>0.728497</v>
      </c>
      <c r="G20" s="7">
        <f>E20*F20</f>
        <v/>
      </c>
      <c r="H20" s="8" t="n">
        <v>0.5600000000000001</v>
      </c>
      <c r="I20" s="5" t="n">
        <v>3</v>
      </c>
      <c r="J20" s="5" t="n">
        <v>2</v>
      </c>
      <c r="K20" s="5" t="n"/>
      <c r="L20" s="9">
        <f>HYPERLINK("https://www.ciencuadras.com/inmueble/apartamento-en-arriendo-en-villa-santos-barranquilla-3760663","🔗 Ver")</f>
        <v/>
      </c>
      <c r="M20" s="5" t="inlineStr">
        <is>
          <t>Sí</t>
        </is>
      </c>
    </row>
  </sheetData>
  <conditionalFormatting sqref="G3:G12">
    <cfRule type="expression" priority="1" dxfId="0">
      <formula>ABS(G3-AVERAGE($G$3:$G$12))&gt;2*STDEV($G$3:$G$12)</formula>
    </cfRule>
  </conditionalFormatting>
  <conditionalFormatting sqref="G16:G20">
    <cfRule type="expression" priority="2" dxfId="0">
      <formula>ABS(G16-AVERAGE($G$16:$G$20))&gt;2*STDEV($G$16:$G$20)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COUNTIF(COMPARABLES!M3:M12,"Sí")</f>
        <v/>
      </c>
    </row>
    <row r="3">
      <c r="A3" s="3" t="inlineStr">
        <is>
          <t>Promedio ponderado /m² (vivo)</t>
        </is>
      </c>
      <c r="B3" s="10">
        <f>IFERROR(SUMPRODUCT((COMPARABLES!M3:M12="Sí")*COMPARABLES!H3:H12*COMPARABLES!G3:G12)/SUMPRODUCT((COMPARABLES!M3:M12="Sí")*COMPARABLES!H3:H12),0)</f>
        <v/>
      </c>
    </row>
    <row r="4">
      <c r="A4" s="3" t="inlineStr">
        <is>
          <t>Promedio sin ponderar /m² (verif.)</t>
        </is>
      </c>
      <c r="B4" s="10">
        <f>IFERROR(AVERAGEIF(COMPARABLES!M3:M12,"Sí",COMPARABLES!G3:G12),0)</f>
        <v/>
      </c>
    </row>
    <row r="5">
      <c r="A5" s="3" t="inlineStr">
        <is>
          <t>CV ponderado (%) — cálculo ACM</t>
        </is>
      </c>
      <c r="B5" s="11" t="n">
        <v>8.449999999999999</v>
      </c>
    </row>
    <row r="6">
      <c r="A6" s="3" t="inlineStr">
        <is>
          <t>Precio/m² adoptado</t>
        </is>
      </c>
      <c r="B6" s="10">
        <f t="array" ref="B6">MAX(B3,MEDIAN(IF(COMPARABLES!M3:M12="Sí",COMPARABLES!E3:E12)))</f>
        <v/>
      </c>
    </row>
    <row r="7">
      <c r="A7" s="3" t="inlineStr">
        <is>
          <t>Área del sujeto (m²)</t>
        </is>
      </c>
      <c r="B7" s="11" t="n">
        <v>101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COUNTIF(COMPARABLES!M16:M20,"Sí")</f>
        <v/>
      </c>
    </row>
    <row r="12">
      <c r="A12" s="3" t="inlineStr">
        <is>
          <t>Promedio ponderado /m² (vivo)</t>
        </is>
      </c>
      <c r="B12" s="10">
        <f>IFERROR(SUMPRODUCT((COMPARABLES!M16:M20="Sí")*COMPARABLES!H16:H20*COMPARABLES!G16:G20)/SUMPRODUCT((COMPARABLES!M16:M20="Sí")*COMPARABLES!H16:H20),0)</f>
        <v/>
      </c>
    </row>
    <row r="13">
      <c r="A13" s="3" t="inlineStr">
        <is>
          <t>Promedio sin ponderar /m² (verif.)</t>
        </is>
      </c>
      <c r="B13" s="10">
        <f>IFERROR(AVERAGEIF(COMPARABLES!M16:M20,"Sí",COMPARABLES!G16:G20),0)</f>
        <v/>
      </c>
    </row>
    <row r="14">
      <c r="A14" s="3" t="inlineStr">
        <is>
          <t>CV ponderado (%) — cálculo ACM</t>
        </is>
      </c>
      <c r="B14" s="11" t="n">
        <v>7.18</v>
      </c>
    </row>
    <row r="15">
      <c r="A15" s="3" t="inlineStr">
        <is>
          <t>Precio/m² adoptado</t>
        </is>
      </c>
      <c r="B15" s="10">
        <f>B12</f>
        <v/>
      </c>
    </row>
    <row r="16">
      <c r="A16" s="3" t="inlineStr">
        <is>
          <t>Área del sujeto (m²)</t>
        </is>
      </c>
      <c r="B16" s="11" t="n">
        <v>101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101</v>
      </c>
    </row>
    <row r="7">
      <c r="A7" s="3" t="inlineStr">
        <is>
          <t>Valor por costo de reposición</t>
        </is>
      </c>
      <c r="B7" s="10" t="n">
        <v>208093047.2</v>
      </c>
    </row>
    <row r="8">
      <c r="A8" s="3" t="inlineStr">
        <is>
          <t>% terreno</t>
        </is>
      </c>
      <c r="B8" s="11" t="n">
        <v>51.99</v>
      </c>
    </row>
    <row r="9">
      <c r="A9" s="3" t="inlineStr">
        <is>
          <t>% construcción</t>
        </is>
      </c>
      <c r="B9" s="11" t="n">
        <v>48.01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CUATROCIENTOS TREINTA Y TRES MILLONES CUATROCIENTOS CINCUENTA MIL SETECIENTOS DIECINUEVE PESOS MONEDA CORRIENTE</t>
        </is>
      </c>
    </row>
    <row r="5">
      <c r="A5" s="3" t="inlineStr">
        <is>
          <t>CANON MENSUAL DE ARRIENDO (vivo)</t>
        </is>
      </c>
      <c r="B5" s="10">
        <f>'ACM ANÁLISIS'!B17</f>
        <v/>
      </c>
    </row>
    <row r="6">
      <c r="A6" s="3" t="inlineStr">
        <is>
          <t>Canon en letras (cálculo inicial)</t>
        </is>
      </c>
      <c r="B6" s="2" t="inlineStr">
        <is>
          <t>DOS MILLONES SETECIENTOS NOVENTA Y NUEVE MIL QUINIENTOS SESENTA Y CUATRO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419934669</v>
      </c>
    </row>
    <row r="10">
      <c r="A10" s="3" t="inlineStr">
        <is>
          <t>Costo de reposición (Art. 3)</t>
        </is>
      </c>
      <c r="B10" s="10" t="n">
        <v>208093047.2</v>
      </c>
    </row>
    <row r="11">
      <c r="A11" s="2" t="n"/>
      <c r="B11" s="2" t="n"/>
    </row>
    <row r="12">
      <c r="A12" s="1" t="inlineStr">
        <is>
          <t>Precio recomendado (estrategia de venta)</t>
        </is>
      </c>
      <c r="B12" s="2" t="n"/>
    </row>
    <row r="13">
      <c r="A13" s="3" t="inlineStr">
        <is>
          <t>Precio de captación</t>
        </is>
      </c>
      <c r="B13" s="10" t="n">
        <v>300000000</v>
      </c>
    </row>
    <row r="14">
      <c r="A14" s="3" t="inlineStr">
        <is>
          <t>Precio/m² de captación</t>
        </is>
      </c>
      <c r="B14" s="10" t="n">
        <v>2970297.03</v>
      </c>
    </row>
    <row r="15">
      <c r="A15" s="3" t="inlineStr">
        <is>
          <t>Precio de mercado (valor adoptado)</t>
        </is>
      </c>
      <c r="B15" s="10">
        <f>B3</f>
        <v/>
      </c>
    </row>
    <row r="16">
      <c r="A16" s="3" t="inlineStr">
        <is>
          <t>Promedio /m² ACM</t>
        </is>
      </c>
      <c r="B16" s="10">
        <f>IFERROR(B3/101.0,0)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1.331 / no (&gt;7,5%)</t>
        </is>
      </c>
    </row>
    <row r="22">
      <c r="A22" s="3" t="inlineStr">
        <is>
          <t>Período de mercadeo</t>
        </is>
      </c>
      <c r="B22" s="2" t="inlineStr">
        <is>
          <t>3 a 6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n=5, pool=23)</t>
        </is>
      </c>
    </row>
    <row r="26">
      <c r="A26" s="3" t="inlineStr">
        <is>
          <t>Mezcla de fuentes (venta)</t>
        </is>
      </c>
      <c r="B26" s="2" t="inlineStr">
        <is>
          <t>fincaraiz: 3, ciencuadras: 3</t>
        </is>
      </c>
    </row>
    <row r="27">
      <c r="A27" s="3" t="inlineStr">
        <is>
          <t>Confianza venta / arriendo</t>
        </is>
      </c>
      <c r="B27" s="2" t="inlineStr">
        <is>
          <t>media / media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8 comparable(s) sin antigüedad publicada: se supuso una antigüedad típica de mercado (~20 años) para depreciar el inmueble del sujeto (35 años) frente a ellos (Fitto-Corvini).</t>
        </is>
      </c>
      <c r="B44" s="2" t="n"/>
    </row>
    <row r="45">
      <c r="A45" s="2" t="inlineStr">
        <is>
          <t>• Comparables de venta: 4 excluido(s) por precio fuera de la norma del sector (sobreprecio o subprecio atípico respecto a la mediana homogenizada).</t>
        </is>
      </c>
      <c r="B45" s="2" t="n"/>
    </row>
    <row r="46">
      <c r="A46" s="2" t="inlineStr">
        <is>
          <t>• Venta: el valor adoptado se ancló a la MEDIANA de precio/m² del sector (nivel típico del barrio); la homogenización por antigüedad lo situaba por debajo de ese nivel.</t>
        </is>
      </c>
      <c r="B46" s="2" t="n"/>
    </row>
    <row r="47">
      <c r="A47" s="2" t="inlineStr">
        <is>
          <t>• CV de venta = 8.45% &gt; 7,5% (Res. 620/2008, Art. 11): la muestra no es homogénea; se adopta la MEDIA ponderada del conjunto depurado como valor más probable (referencial) y se recomienda reforzar el número de comparables.</t>
        </is>
      </c>
      <c r="B47" s="2" t="n"/>
    </row>
    <row r="48">
      <c r="A48" s="2" t="inlineStr">
        <is>
          <t>• Depreciación Fitto-Corvini para estado Bien mantenido: coeficientes parciales del spec; completar con la Resolución 620/2008 antes de uso oficial.</t>
        </is>
      </c>
      <c r="B48"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2026-09-10T18:13:17Z</dcterms:created>
  <dcterms:modified xmlns:dcterms="http://purl.org/dc/terms/" xmlns:xsi="http://www.w3.org/2001/XMLSchema-instance" xsi:type="dcterms:W3CDTF">2026-09-10T18:13:17Z</dcterms:modified>
</cp:coreProperties>
</file>