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85</v>
      </c>
      <c r="D3" s="7" t="n">
        <v>285000000</v>
      </c>
      <c r="E3" s="7">
        <f>IF(C3=0,0,D3/C3)</f>
        <v/>
      </c>
      <c r="F3" s="8" t="n">
        <v>1.054583</v>
      </c>
      <c r="G3" s="7">
        <f>E3*F3</f>
        <v/>
      </c>
      <c r="H3" s="8" t="n">
        <v>1</v>
      </c>
      <c r="I3" s="5" t="n">
        <v>2</v>
      </c>
      <c r="J3" s="5" t="n">
        <v>2</v>
      </c>
      <c r="K3" s="5" t="n">
        <v>5</v>
      </c>
      <c r="L3" s="9">
        <f>HYPERLINK("https://www.fincaraiz.com.co/apartamento-en-venta-en-altos-del-prado-barranquilla/191549632","🔗 Ver")</f>
        <v/>
      </c>
      <c r="M3" s="5" t="inlineStr">
        <is>
          <t>Sí</t>
        </is>
      </c>
    </row>
    <row r="4">
      <c r="A4" s="5" t="inlineStr">
        <is>
          <t>fincaraiz</t>
        </is>
      </c>
      <c r="B4" s="5" t="inlineStr">
        <is>
          <t>El porvenir</t>
        </is>
      </c>
      <c r="C4" s="6" t="n">
        <v>103</v>
      </c>
      <c r="D4" s="7" t="n">
        <v>450000000</v>
      </c>
      <c r="E4" s="7">
        <f>IF(C4=0,0,D4/C4)</f>
        <v/>
      </c>
      <c r="F4" s="8" t="n">
        <v>0.69842</v>
      </c>
      <c r="G4" s="7">
        <f>E4*F4</f>
        <v/>
      </c>
      <c r="H4" s="8" t="n">
        <v>1</v>
      </c>
      <c r="I4" s="5" t="n">
        <v>3</v>
      </c>
      <c r="J4" s="5" t="n">
        <v>2</v>
      </c>
      <c r="K4" s="5" t="n">
        <v>4</v>
      </c>
      <c r="L4" s="9">
        <f>HYPERLINK("https://www.fincaraiz.com.co/apartamento-en-venta-en-el-porvenir-barranquilla/193771269","🔗 Ver")</f>
        <v/>
      </c>
      <c r="M4" s="5" t="inlineStr">
        <is>
          <t>Sí</t>
        </is>
      </c>
    </row>
    <row r="5">
      <c r="A5" s="5" t="inlineStr">
        <is>
          <t>fincaraiz</t>
        </is>
      </c>
      <c r="B5" s="5" t="inlineStr">
        <is>
          <t>El prado</t>
        </is>
      </c>
      <c r="C5" s="6" t="n">
        <v>85</v>
      </c>
      <c r="D5" s="7" t="n">
        <v>260000000</v>
      </c>
      <c r="E5" s="7">
        <f>IF(C5=0,0,D5/C5)</f>
        <v/>
      </c>
      <c r="F5" s="8" t="n">
        <v>0.764191</v>
      </c>
      <c r="G5" s="7">
        <f>E5*F5</f>
        <v/>
      </c>
      <c r="H5" s="8" t="n">
        <v>1</v>
      </c>
      <c r="I5" s="5" t="n">
        <v>2</v>
      </c>
      <c r="J5" s="5" t="n">
        <v>2</v>
      </c>
      <c r="K5" s="5" t="n">
        <v>5</v>
      </c>
      <c r="L5" s="9">
        <f>HYPERLINK("https://www.fincaraiz.com.co/apartamento-en-venta-en-el-prado-barranquilla/10647643","🔗 Ver")</f>
        <v/>
      </c>
      <c r="M5" s="5" t="inlineStr">
        <is>
          <t>Sí</t>
        </is>
      </c>
    </row>
    <row r="6">
      <c r="A6" s="5" t="inlineStr">
        <is>
          <t>fincaraiz</t>
        </is>
      </c>
      <c r="B6" s="5" t="inlineStr">
        <is>
          <t>Altos del prado</t>
        </is>
      </c>
      <c r="C6" s="6" t="n">
        <v>120</v>
      </c>
      <c r="D6" s="7" t="n">
        <v>465000000</v>
      </c>
      <c r="E6" s="7">
        <f>IF(C6=0,0,D6/C6)</f>
        <v/>
      </c>
      <c r="F6" s="8" t="n">
        <v>1.054583</v>
      </c>
      <c r="G6" s="7">
        <f>E6*F6</f>
        <v/>
      </c>
      <c r="H6" s="8" t="n">
        <v>1</v>
      </c>
      <c r="I6" s="5" t="n">
        <v>2</v>
      </c>
      <c r="J6" s="5" t="n">
        <v>2</v>
      </c>
      <c r="K6" s="5" t="n">
        <v>6</v>
      </c>
      <c r="L6" s="9">
        <f>HYPERLINK("https://www.fincaraiz.com.co/apartamento-en-venta-en-altos-del-prado-barranquilla/10295759","🔗 Ver")</f>
        <v/>
      </c>
      <c r="M6" s="5" t="inlineStr">
        <is>
          <t>Sí</t>
        </is>
      </c>
    </row>
    <row r="7">
      <c r="A7" s="5" t="inlineStr">
        <is>
          <t>fincaraiz</t>
        </is>
      </c>
      <c r="B7" s="5" t="inlineStr">
        <is>
          <t>Altos del prado</t>
        </is>
      </c>
      <c r="C7" s="6" t="n">
        <v>105</v>
      </c>
      <c r="D7" s="7" t="n">
        <v>385000000</v>
      </c>
      <c r="E7" s="7">
        <f>IF(C7=0,0,D7/C7)</f>
        <v/>
      </c>
      <c r="F7" s="8" t="n">
        <v>0.9807630000000001</v>
      </c>
      <c r="G7" s="7">
        <f>E7*F7</f>
        <v/>
      </c>
      <c r="H7" s="8" t="n">
        <v>1</v>
      </c>
      <c r="I7" s="5" t="n">
        <v>3</v>
      </c>
      <c r="J7" s="5" t="n">
        <v>2</v>
      </c>
      <c r="K7" s="5" t="n">
        <v>4</v>
      </c>
      <c r="L7" s="9">
        <f>HYPERLINK("https://www.fincaraiz.com.co/apartamento-en-venta-en-altos-del-prado-barranquilla/10428591","🔗 Ver")</f>
        <v/>
      </c>
      <c r="M7" s="5" t="inlineStr">
        <is>
          <t>Sí</t>
        </is>
      </c>
    </row>
    <row r="8">
      <c r="A8" s="5" t="inlineStr">
        <is>
          <t>metrocuadrado</t>
        </is>
      </c>
      <c r="B8" s="5" t="inlineStr">
        <is>
          <t>Alto Prado</t>
        </is>
      </c>
      <c r="C8" s="6" t="n">
        <v>115</v>
      </c>
      <c r="D8" s="7" t="n">
        <v>520000000</v>
      </c>
      <c r="E8" s="7">
        <f>IF(C8=0,0,D8/C8)</f>
        <v/>
      </c>
      <c r="F8" s="8" t="n">
        <v>0.80399</v>
      </c>
      <c r="G8" s="7">
        <f>E8*F8</f>
        <v/>
      </c>
      <c r="H8" s="8" t="n">
        <v>0.68</v>
      </c>
      <c r="I8" s="5" t="n">
        <v>3</v>
      </c>
      <c r="J8" s="5" t="n">
        <v>2</v>
      </c>
      <c r="K8" s="5" t="n"/>
      <c r="L8" s="9">
        <f>HYPERLINK("https://www.metrocuadrado.com/inmueble/venta-apartamento-barranquilla-ub-balcones-de-villa-campestre-3-habitaciones-2-banos-2-garajes/20424-M7032916","🔗 Ver")</f>
        <v/>
      </c>
      <c r="M8" s="5" t="inlineStr">
        <is>
          <t>Sí</t>
        </is>
      </c>
    </row>
    <row r="9">
      <c r="A9" s="5" t="inlineStr">
        <is>
          <t>metrocuadrado</t>
        </is>
      </c>
      <c r="B9" s="5" t="inlineStr">
        <is>
          <t>Alto Prado</t>
        </is>
      </c>
      <c r="C9" s="6" t="n">
        <v>92</v>
      </c>
      <c r="D9" s="7" t="n">
        <v>270000000</v>
      </c>
      <c r="E9" s="7">
        <f>IF(C9=0,0,D9/C9)</f>
        <v/>
      </c>
      <c r="F9" s="8" t="n">
        <v>0.80399</v>
      </c>
      <c r="G9" s="7">
        <f>E9*F9</f>
        <v/>
      </c>
      <c r="H9" s="8" t="n">
        <v>0.68</v>
      </c>
      <c r="I9" s="5" t="n">
        <v>3</v>
      </c>
      <c r="J9" s="5" t="n">
        <v>2</v>
      </c>
      <c r="K9" s="5" t="n"/>
      <c r="L9" s="9">
        <f>HYPERLINK("https://www.metrocuadrado.com/inmueble/venta-apartamento-barranquilla-andalucia-3-habitaciones-2-banos-1-garajes/18514-M6971631","🔗 Ver")</f>
        <v/>
      </c>
      <c r="M9" s="5" t="inlineStr">
        <is>
          <t>No</t>
        </is>
      </c>
    </row>
    <row r="10">
      <c r="A10" s="5" t="inlineStr">
        <is>
          <t>ciencuadras</t>
        </is>
      </c>
      <c r="B10" s="5" t="inlineStr">
        <is>
          <t>VILLA COUNTRY</t>
        </is>
      </c>
      <c r="C10" s="6" t="n">
        <v>77</v>
      </c>
      <c r="D10" s="7" t="n">
        <v>320000000</v>
      </c>
      <c r="E10" s="7">
        <f>IF(C10=0,0,D10/C10)</f>
        <v/>
      </c>
      <c r="F10" s="8" t="n">
        <v>0.72063</v>
      </c>
      <c r="G10" s="7">
        <f>E10*F10</f>
        <v/>
      </c>
      <c r="H10" s="8" t="n">
        <v>0.5600000000000001</v>
      </c>
      <c r="I10" s="5" t="n">
        <v>3</v>
      </c>
      <c r="J10" s="5" t="n">
        <v>2</v>
      </c>
      <c r="K10" s="5" t="n"/>
      <c r="L10" s="9">
        <f>HYPERLINK("https://www.ciencuadras.com/inmueble/apartamento-en-venta-en-villa-country-barranquilla-3166521","🔗 Ver")</f>
        <v/>
      </c>
      <c r="M10" s="5" t="inlineStr">
        <is>
          <t>Sí</t>
        </is>
      </c>
    </row>
    <row r="11">
      <c r="A11" s="5" t="inlineStr">
        <is>
          <t>ciencuadras</t>
        </is>
      </c>
      <c r="B11" s="5" t="inlineStr">
        <is>
          <t>ANDALUCIA</t>
        </is>
      </c>
      <c r="C11" s="6" t="n">
        <v>88</v>
      </c>
      <c r="D11" s="7" t="n">
        <v>385000000</v>
      </c>
      <c r="E11" s="7">
        <f>IF(C11=0,0,D11/C11)</f>
        <v/>
      </c>
      <c r="F11" s="8" t="n">
        <v>0.8475549999999999</v>
      </c>
      <c r="G11" s="7">
        <f>E11*F11</f>
        <v/>
      </c>
      <c r="H11" s="8" t="n">
        <v>0.5600000000000001</v>
      </c>
      <c r="I11" s="5" t="n">
        <v>2</v>
      </c>
      <c r="J11" s="5" t="n">
        <v>2</v>
      </c>
      <c r="K11" s="5" t="n"/>
      <c r="L11" s="9">
        <f>HYPERLINK("https://www.ciencuadras.com/inmueble/apartamento-en-venta-en-andalucia-barranquilla-3274813","🔗 Ver")</f>
        <v/>
      </c>
      <c r="M11" s="5" t="inlineStr">
        <is>
          <t>Sí</t>
        </is>
      </c>
    </row>
    <row r="12">
      <c r="A12" s="5" t="inlineStr">
        <is>
          <t>ciencuadras</t>
        </is>
      </c>
      <c r="B12" s="5" t="inlineStr">
        <is>
          <t>LA CAMPIÑA</t>
        </is>
      </c>
      <c r="C12" s="6" t="n">
        <v>104</v>
      </c>
      <c r="D12" s="7" t="n">
        <v>515000000</v>
      </c>
      <c r="E12" s="7">
        <f>IF(C12=0,0,D12/C12)</f>
        <v/>
      </c>
      <c r="F12" s="8" t="n">
        <v>0.864506</v>
      </c>
      <c r="G12" s="7">
        <f>E12*F12</f>
        <v/>
      </c>
      <c r="H12" s="8" t="n">
        <v>0.5600000000000001</v>
      </c>
      <c r="I12" s="5" t="n">
        <v>2</v>
      </c>
      <c r="J12" s="5" t="n">
        <v>2</v>
      </c>
      <c r="K12" s="5" t="n"/>
      <c r="L12" s="9">
        <f>HYPERLINK("https://www.ciencuadras.com/inmueble/apartamento-en-venta-en-la-campina-barranquilla-3525372","🔗 Ver")</f>
        <v/>
      </c>
      <c r="M12" s="5" t="inlineStr">
        <is>
          <t>No</t>
        </is>
      </c>
    </row>
    <row r="13">
      <c r="A13" s="2" t="n"/>
      <c r="B13" s="2" t="n"/>
      <c r="C13" s="2" t="n"/>
      <c r="D13" s="2" t="n"/>
      <c r="E13" s="2" t="n"/>
      <c r="F13" s="2" t="n"/>
      <c r="G13" s="2" t="n"/>
      <c r="H13" s="2" t="n"/>
      <c r="I13" s="2" t="n"/>
      <c r="J13" s="2" t="n"/>
      <c r="K13" s="2" t="n"/>
      <c r="L13" s="2" t="n"/>
      <c r="M13" s="2" t="n"/>
    </row>
    <row r="14">
      <c r="A14" s="1" t="inlineStr">
        <is>
          <t>COMPARABLES DE ARRIENDO</t>
        </is>
      </c>
      <c r="B14" s="2" t="n"/>
      <c r="C14" s="2" t="n"/>
      <c r="D14" s="2" t="n"/>
      <c r="E14" s="2" t="n"/>
      <c r="F14" s="2" t="n"/>
      <c r="G14" s="2" t="n"/>
      <c r="H14" s="2" t="n"/>
      <c r="I14" s="2" t="n"/>
      <c r="J14" s="2" t="n"/>
      <c r="K14" s="2" t="n"/>
      <c r="L14" s="2" t="n"/>
      <c r="M14" s="2" t="n"/>
    </row>
    <row r="15">
      <c r="A15" s="4" t="inlineStr">
        <is>
          <t>Portal</t>
        </is>
      </c>
      <c r="B15" s="4" t="inlineStr">
        <is>
          <t>Barrio</t>
        </is>
      </c>
      <c r="C15" s="4" t="inlineStr">
        <is>
          <t>Área m²</t>
        </is>
      </c>
      <c r="D15" s="4" t="inlineStr">
        <is>
          <t>Precio (COP)</t>
        </is>
      </c>
      <c r="E15" s="4" t="inlineStr">
        <is>
          <t>Precio/m²</t>
        </is>
      </c>
      <c r="F15" s="4" t="inlineStr">
        <is>
          <t>Factor homog.</t>
        </is>
      </c>
      <c r="G15" s="4" t="inlineStr">
        <is>
          <t>Precio/m² homog.</t>
        </is>
      </c>
      <c r="H15" s="4" t="inlineStr">
        <is>
          <t>Peso fuente</t>
        </is>
      </c>
      <c r="I15" s="4" t="inlineStr">
        <is>
          <t>Hab</t>
        </is>
      </c>
      <c r="J15" s="4" t="inlineStr">
        <is>
          <t>Baños</t>
        </is>
      </c>
      <c r="K15" s="4" t="inlineStr">
        <is>
          <t>Estrato</t>
        </is>
      </c>
      <c r="L15" s="4" t="inlineStr">
        <is>
          <t>Enlace</t>
        </is>
      </c>
      <c r="M15" s="4" t="inlineStr">
        <is>
          <t>INCLUIR EN ACM</t>
        </is>
      </c>
    </row>
    <row r="16">
      <c r="A16" s="5" t="inlineStr">
        <is>
          <t>fincaraiz</t>
        </is>
      </c>
      <c r="B16" s="5" t="inlineStr">
        <is>
          <t>Altos del prado</t>
        </is>
      </c>
      <c r="C16" s="6" t="n">
        <v>112</v>
      </c>
      <c r="D16" s="7" t="n">
        <v>2000000</v>
      </c>
      <c r="E16" s="7">
        <f>IF(C16=0,0,D16/C16)</f>
        <v/>
      </c>
      <c r="F16" s="8" t="n">
        <v>0.957603</v>
      </c>
      <c r="G16" s="7">
        <f>E16*F16</f>
        <v/>
      </c>
      <c r="H16" s="8" t="n">
        <v>1</v>
      </c>
      <c r="I16" s="5" t="n">
        <v>3</v>
      </c>
      <c r="J16" s="5" t="n">
        <v>2</v>
      </c>
      <c r="K16" s="5" t="n">
        <v>4</v>
      </c>
      <c r="L16" s="9">
        <f>HYPERLINK("https://www.fincaraiz.com.co/apartamento-en-arriendo-en-altos-del-prado-barranquilla/193953471","🔗 Ver")</f>
        <v/>
      </c>
      <c r="M16" s="5" t="inlineStr">
        <is>
          <t>Sí</t>
        </is>
      </c>
    </row>
    <row r="17">
      <c r="A17" s="5" t="inlineStr">
        <is>
          <t>fincaraiz</t>
        </is>
      </c>
      <c r="B17" s="5" t="inlineStr">
        <is>
          <t>Altos del prado</t>
        </is>
      </c>
      <c r="C17" s="6" t="n">
        <v>112</v>
      </c>
      <c r="D17" s="7" t="n">
        <v>4000000</v>
      </c>
      <c r="E17" s="7">
        <f>IF(C17=0,0,D17/C17)</f>
        <v/>
      </c>
      <c r="F17" s="8" t="n">
        <v>0.899901</v>
      </c>
      <c r="G17" s="7">
        <f>E17*F17</f>
        <v/>
      </c>
      <c r="H17" s="8" t="n">
        <v>1</v>
      </c>
      <c r="I17" s="5" t="n">
        <v>3</v>
      </c>
      <c r="J17" s="5" t="n">
        <v>2</v>
      </c>
      <c r="K17" s="5" t="n">
        <v>6</v>
      </c>
      <c r="L17" s="9">
        <f>HYPERLINK("https://www.fincaraiz.com.co/apartamento-en-arriendo-en-altos-del-prado-barranquilla/193964748","🔗 Ver")</f>
        <v/>
      </c>
      <c r="M17" s="5" t="inlineStr">
        <is>
          <t>No</t>
        </is>
      </c>
    </row>
    <row r="18">
      <c r="A18" s="5" t="inlineStr">
        <is>
          <t>fincaraiz</t>
        </is>
      </c>
      <c r="B18" s="5" t="inlineStr">
        <is>
          <t>Altos del prado</t>
        </is>
      </c>
      <c r="C18" s="6" t="n">
        <v>118</v>
      </c>
      <c r="D18" s="7" t="n">
        <v>2200000</v>
      </c>
      <c r="E18" s="7">
        <f>IF(C18=0,0,D18/C18)</f>
        <v/>
      </c>
      <c r="F18" s="8" t="n">
        <v>0.96433</v>
      </c>
      <c r="G18" s="7">
        <f>E18*F18</f>
        <v/>
      </c>
      <c r="H18" s="8" t="n">
        <v>1</v>
      </c>
      <c r="I18" s="5" t="n">
        <v>3</v>
      </c>
      <c r="J18" s="5" t="n">
        <v>2</v>
      </c>
      <c r="K18" s="5" t="n">
        <v>5</v>
      </c>
      <c r="L18" s="9">
        <f>HYPERLINK("https://www.fincaraiz.com.co/apartamento-en-arriendo-en-altos-del-prado-barranquilla/193441648","🔗 Ver")</f>
        <v/>
      </c>
      <c r="M18" s="5" t="inlineStr">
        <is>
          <t>Sí</t>
        </is>
      </c>
    </row>
    <row r="19">
      <c r="A19" s="5" t="inlineStr">
        <is>
          <t>fincaraiz</t>
        </is>
      </c>
      <c r="B19" s="5" t="inlineStr">
        <is>
          <t>Norte centro - historico</t>
        </is>
      </c>
      <c r="C19" s="6" t="n">
        <v>121</v>
      </c>
      <c r="D19" s="7" t="n">
        <v>2300000</v>
      </c>
      <c r="E19" s="7">
        <f>IF(C19=0,0,D19/C19)</f>
        <v/>
      </c>
      <c r="F19" s="8" t="n">
        <v>0.6479510000000001</v>
      </c>
      <c r="G19" s="7">
        <f>E19*F19</f>
        <v/>
      </c>
      <c r="H19" s="8" t="n">
        <v>1</v>
      </c>
      <c r="I19" s="5" t="n">
        <v>3</v>
      </c>
      <c r="J19" s="5" t="n">
        <v>2</v>
      </c>
      <c r="K19" s="5" t="n">
        <v>5</v>
      </c>
      <c r="L19" s="9">
        <f>HYPERLINK("https://www.fincaraiz.com.co/apartamento-en-arriendo-en-norte-centro-historico-barranquilla/191642860","🔗 Ver")</f>
        <v/>
      </c>
      <c r="M19" s="5" t="inlineStr">
        <is>
          <t>Sí</t>
        </is>
      </c>
    </row>
    <row r="20">
      <c r="A20" s="5" t="inlineStr">
        <is>
          <t>fincaraiz</t>
        </is>
      </c>
      <c r="B20" s="5" t="inlineStr">
        <is>
          <t>Villa country</t>
        </is>
      </c>
      <c r="C20" s="6" t="n">
        <v>98</v>
      </c>
      <c r="D20" s="7" t="n">
        <v>2300000</v>
      </c>
      <c r="E20" s="7">
        <f>IF(C20=0,0,D20/C20)</f>
        <v/>
      </c>
      <c r="F20" s="8" t="n">
        <v>0.644645</v>
      </c>
      <c r="G20" s="7">
        <f>E20*F20</f>
        <v/>
      </c>
      <c r="H20" s="8" t="n">
        <v>1</v>
      </c>
      <c r="I20" s="5" t="n">
        <v>2</v>
      </c>
      <c r="J20" s="5" t="n">
        <v>2</v>
      </c>
      <c r="K20" s="5" t="n">
        <v>5</v>
      </c>
      <c r="L20" s="9">
        <f>HYPERLINK("https://www.fincaraiz.com.co/apartamento-en-arriendo-en-villa-country-barranquilla/194139968","🔗 Ver")</f>
        <v/>
      </c>
      <c r="M20" s="5" t="inlineStr">
        <is>
          <t>Sí</t>
        </is>
      </c>
    </row>
    <row r="21">
      <c r="A21" s="5" t="inlineStr">
        <is>
          <t>metrocuadrado</t>
        </is>
      </c>
      <c r="B21" s="5" t="inlineStr">
        <is>
          <t>Alto Prado</t>
        </is>
      </c>
      <c r="C21" s="6" t="n">
        <v>83</v>
      </c>
      <c r="D21" s="7" t="n">
        <v>1730000</v>
      </c>
      <c r="E21" s="7">
        <f>IF(C21=0,0,D21/C21)</f>
        <v/>
      </c>
      <c r="F21" s="8" t="n">
        <v>0.983589</v>
      </c>
      <c r="G21" s="7">
        <f>E21*F21</f>
        <v/>
      </c>
      <c r="H21" s="8" t="n">
        <v>0.68</v>
      </c>
      <c r="I21" s="5" t="n">
        <v>2</v>
      </c>
      <c r="J21" s="5" t="n">
        <v>1</v>
      </c>
      <c r="K21" s="5" t="n"/>
      <c r="L21" s="9">
        <f>HYPERLINK("https://www.metrocuadrado.com/inmueble/arriendo-apartamento-barranquilla-el-prado-2-habitaciones-1-banos-1-garajes/MC4054633","🔗 Ver")</f>
        <v/>
      </c>
      <c r="M21" s="5" t="inlineStr">
        <is>
          <t>Sí</t>
        </is>
      </c>
    </row>
    <row r="22">
      <c r="A22" s="5" t="inlineStr">
        <is>
          <t>metrocuadrado</t>
        </is>
      </c>
      <c r="B22" s="5" t="inlineStr">
        <is>
          <t>Alto Prado</t>
        </is>
      </c>
      <c r="C22" s="6" t="n">
        <v>82</v>
      </c>
      <c r="D22" s="7" t="n">
        <v>2500000</v>
      </c>
      <c r="E22" s="7">
        <f>IF(C22=0,0,D22/C22)</f>
        <v/>
      </c>
      <c r="F22" s="8" t="n">
        <v>0.872633</v>
      </c>
      <c r="G22" s="7">
        <f>E22*F22</f>
        <v/>
      </c>
      <c r="H22" s="8" t="n">
        <v>0.68</v>
      </c>
      <c r="I22" s="5" t="n">
        <v>3</v>
      </c>
      <c r="J22" s="5" t="n">
        <v>2</v>
      </c>
      <c r="K22" s="5" t="n"/>
      <c r="L22" s="9">
        <f>HYPERLINK("https://www.metrocuadrado.com/inmueble/arriendo-apartamento-barranquilla-los-alpes-3-habitaciones-2-banos-1-garajes/9889-M4361051","🔗 Ver")</f>
        <v/>
      </c>
      <c r="M22" s="5" t="inlineStr">
        <is>
          <t>No</t>
        </is>
      </c>
    </row>
    <row r="23">
      <c r="A23" s="5" t="inlineStr">
        <is>
          <t>metrocuadrado</t>
        </is>
      </c>
      <c r="B23" s="5" t="inlineStr">
        <is>
          <t>Alto Prado</t>
        </is>
      </c>
      <c r="C23" s="6" t="n">
        <v>79</v>
      </c>
      <c r="D23" s="7" t="n">
        <v>2474000</v>
      </c>
      <c r="E23" s="7">
        <f>IF(C23=0,0,D23/C23)</f>
        <v/>
      </c>
      <c r="F23" s="8" t="n">
        <v>0.836721</v>
      </c>
      <c r="G23" s="7">
        <f>E23*F23</f>
        <v/>
      </c>
      <c r="H23" s="8" t="n">
        <v>0.68</v>
      </c>
      <c r="I23" s="5" t="n">
        <v>3</v>
      </c>
      <c r="J23" s="5" t="n">
        <v>2</v>
      </c>
      <c r="K23" s="5" t="n"/>
      <c r="L23" s="9">
        <f>HYPERLINK("https://www.metrocuadrado.com/inmueble/arriendo-apartamento-barranquilla-villa-carolina-3-habitaciones-2-banos-1-garajes/MC6886173","🔗 Ver")</f>
        <v/>
      </c>
      <c r="M23" s="5" t="inlineStr">
        <is>
          <t>No</t>
        </is>
      </c>
    </row>
    <row r="24">
      <c r="A24" s="5" t="inlineStr">
        <is>
          <t>ciencuadras</t>
        </is>
      </c>
      <c r="B24" s="5" t="inlineStr">
        <is>
          <t>LOS ALPES</t>
        </is>
      </c>
      <c r="C24" s="6" t="n">
        <v>92</v>
      </c>
      <c r="D24" s="7" t="n">
        <v>3000000</v>
      </c>
      <c r="E24" s="7">
        <f>IF(C24=0,0,D24/C24)</f>
        <v/>
      </c>
      <c r="F24" s="8" t="n">
        <v>0.772207</v>
      </c>
      <c r="G24" s="7">
        <f>E24*F24</f>
        <v/>
      </c>
      <c r="H24" s="8" t="n">
        <v>0.5600000000000001</v>
      </c>
      <c r="I24" s="5" t="n">
        <v>3</v>
      </c>
      <c r="J24" s="5" t="n">
        <v>2</v>
      </c>
      <c r="K24" s="5" t="n"/>
      <c r="L24" s="9">
        <f>HYPERLINK("https://www.ciencuadras.com/inmueble/apartamento-en-arriendo-en-los-alpes-barranquilla-3477113","🔗 Ver")</f>
        <v/>
      </c>
      <c r="M24" s="5" t="inlineStr">
        <is>
          <t>No</t>
        </is>
      </c>
    </row>
    <row r="25">
      <c r="A25" s="5" t="inlineStr">
        <is>
          <t>ciencuadras</t>
        </is>
      </c>
      <c r="B25" s="5" t="inlineStr">
        <is>
          <t>VILLA SANTOS</t>
        </is>
      </c>
      <c r="C25" s="6" t="n">
        <v>100</v>
      </c>
      <c r="D25" s="7" t="n">
        <v>3510867</v>
      </c>
      <c r="E25" s="7">
        <f>IF(C25=0,0,D25/C25)</f>
        <v/>
      </c>
      <c r="F25" s="8" t="n">
        <v>0.6894709999999999</v>
      </c>
      <c r="G25" s="7">
        <f>E25*F25</f>
        <v/>
      </c>
      <c r="H25" s="8" t="n">
        <v>0.5600000000000001</v>
      </c>
      <c r="I25" s="5" t="n">
        <v>3</v>
      </c>
      <c r="J25" s="5" t="n">
        <v>2</v>
      </c>
      <c r="K25" s="5" t="n"/>
      <c r="L25" s="9">
        <f>HYPERLINK("https://www.ciencuadras.com/inmueble/apartamento-en-arriendo-en-villa-santos-barranquilla-3760663","🔗 Ver")</f>
        <v/>
      </c>
      <c r="M25" s="5" t="inlineStr">
        <is>
          <t>Sí</t>
        </is>
      </c>
    </row>
  </sheetData>
  <conditionalFormatting sqref="G3:G12">
    <cfRule type="expression" priority="1" dxfId="0">
      <formula>ABS(G3-AVERAGE($G$3:$G$12))&gt;2*STDEV($G$3:$G$12)</formula>
    </cfRule>
  </conditionalFormatting>
  <conditionalFormatting sqref="G16:G25">
    <cfRule type="expression" priority="2" dxfId="0">
      <formula>ABS(G16-AVERAGE($G$16:$G$25))&gt;2*STDEV($G$16:$G$25)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COUNTIF(COMPARABLES!M3:M12,"Sí")</f>
        <v/>
      </c>
    </row>
    <row r="3">
      <c r="A3" s="3" t="inlineStr">
        <is>
          <t>Promedio ponderado /m² (vivo)</t>
        </is>
      </c>
      <c r="B3" s="10">
        <f>IFERROR(SUMPRODUCT((COMPARABLES!M3:M12="Sí")*COMPARABLES!H3:H12*COMPARABLES!G3:G12)/SUMPRODUCT((COMPARABLES!M3:M12="Sí")*COMPARABLES!H3:H12),0)</f>
        <v/>
      </c>
    </row>
    <row r="4">
      <c r="A4" s="3" t="inlineStr">
        <is>
          <t>Promedio sin ponderar /m² (verif.)</t>
        </is>
      </c>
      <c r="B4" s="10">
        <f>IFERROR(AVERAGEIF(COMPARABLES!M3:M12,"Sí",COMPARABLES!G3:G12),0)</f>
        <v/>
      </c>
    </row>
    <row r="5">
      <c r="A5" s="3" t="inlineStr">
        <is>
          <t>CV ponderado (%) — cálculo ACM</t>
        </is>
      </c>
      <c r="B5" s="11" t="n">
        <v>17.11</v>
      </c>
    </row>
    <row r="6">
      <c r="A6" s="3" t="inlineStr">
        <is>
          <t>Precio/m² adoptado</t>
        </is>
      </c>
      <c r="B6" s="10">
        <f t="array" ref="B6">MAX(B3,MEDIAN(IF(COMPARABLES!M3:M12="Sí",COMPARABLES!G3:G12)))</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COUNTIF(COMPARABLES!M16:M25,"Sí")</f>
        <v/>
      </c>
    </row>
    <row r="12">
      <c r="A12" s="3" t="inlineStr">
        <is>
          <t>Promedio ponderado /m² (vivo)</t>
        </is>
      </c>
      <c r="B12" s="10">
        <f>IFERROR(SUMPRODUCT((COMPARABLES!M16:M25="Sí")*COMPARABLES!H16:H25*COMPARABLES!G16:G25)/SUMPRODUCT((COMPARABLES!M16:M25="Sí")*COMPARABLES!H16:H25),0)</f>
        <v/>
      </c>
    </row>
    <row r="13">
      <c r="A13" s="3" t="inlineStr">
        <is>
          <t>Promedio sin ponderar /m² (verif.)</t>
        </is>
      </c>
      <c r="B13" s="10">
        <f>IFERROR(AVERAGEIF(COMPARABLES!M16:M25,"Sí",COMPARABLES!G16:G25),0)</f>
        <v/>
      </c>
    </row>
    <row r="14">
      <c r="A14" s="3" t="inlineStr">
        <is>
          <t>CV ponderado (%) — cálculo ACM</t>
        </is>
      </c>
      <c r="B14" s="11" t="n">
        <v>22.32</v>
      </c>
    </row>
    <row r="15">
      <c r="A15" s="3" t="inlineStr">
        <is>
          <t>Precio/m² adoptado</t>
        </is>
      </c>
      <c r="B15" s="10">
        <f>B12</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42.22</v>
      </c>
    </row>
    <row r="9">
      <c r="A9" s="3" t="inlineStr">
        <is>
          <t>% construcción</t>
        </is>
      </c>
      <c r="B9" s="11" t="n">
        <v>57.78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TRESCIENTOS SESENTA MILLONES CIENTO SETENTA MIL TRESCIENTOS TREINTA PESOS MONEDA CORRIENTE</t>
        </is>
      </c>
    </row>
    <row r="5">
      <c r="A5" s="3" t="inlineStr">
        <is>
          <t>CANON MENSUAL DE ARRIENDO (vivo)</t>
        </is>
      </c>
      <c r="B5" s="10">
        <f>'ACM ANÁLISIS'!B17</f>
        <v/>
      </c>
    </row>
    <row r="6">
      <c r="A6" s="3" t="inlineStr">
        <is>
          <t>Canon en letras (cálculo inicial)</t>
        </is>
      </c>
      <c r="B6" s="2" t="inlineStr">
        <is>
          <t>UN MILLÓN SETECIENTOS TREINTA Y CINCO MIL CIENTO CUARENTA Y SEIS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260271849</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-0.689 / no (&gt;7,5%)</t>
        </is>
      </c>
    </row>
    <row r="22">
      <c r="A22" s="3" t="inlineStr">
        <is>
          <t>Período de mercadeo</t>
        </is>
      </c>
      <c r="B22" s="2" t="inlineStr">
        <is>
          <t>6 a 9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n=11, pool=25)</t>
        </is>
      </c>
    </row>
    <row r="26">
      <c r="A26" s="3" t="inlineStr">
        <is>
          <t>Mezcla de fuentes (venta)</t>
        </is>
      </c>
      <c r="B26" s="2" t="inlineStr">
        <is>
          <t>fincaraiz: 5, metrocuadrado: 1, ciencuadras: 2</t>
        </is>
      </c>
    </row>
    <row r="27">
      <c r="A27" s="3" t="inlineStr">
        <is>
          <t>Confianza venta / arriendo</t>
        </is>
      </c>
      <c r="B27" s="2" t="inlineStr">
        <is>
          <t>media / baja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10 comparable(s) sin antigüedad publicada: se supuso una antigüedad típica de mercado (~20 años) para depreciar el inmueble del sujeto (35 años) frente a ellos (Fitto-Corvini).</t>
        </is>
      </c>
      <c r="B44" s="2" t="n"/>
    </row>
    <row r="45">
      <c r="A45" s="2" t="inlineStr">
        <is>
          <t>• Comparables de venta: 2 excluido(s) por precio fuera de la norma del sector (sobreprecio o subprecio atípico respecto a la mediana homogenizada).</t>
        </is>
      </c>
      <c r="B45" s="2" t="n"/>
    </row>
    <row r="46">
      <c r="A46" s="2" t="inlineStr">
        <is>
          <t>• Venta: el valor adoptado se ancló a la MEDIANA del precio/m² homogenizado del sector (nivel típico del barrio, ya ajustado a este inmueble).</t>
        </is>
      </c>
      <c r="B46" s="2" t="n"/>
    </row>
    <row r="47">
      <c r="A47" s="2" t="inlineStr">
        <is>
          <t>• CV de venta = 17.11% &gt; 7,5% (Res. 620/2008, Art. 11): la muestra no es homogénea; se adopta la MEDIA ponderada del conjunto depurado como valor más probable (referencial) y se recomienda reforzar el número de comparables.</t>
        </is>
      </c>
      <c r="B47" s="2" t="n"/>
    </row>
    <row r="48">
      <c r="A48" s="2" t="inlineStr">
        <is>
          <t>• Comparables de arriendo: 4 excluido(s) por precio fuera de la norma del sector (sobreprecio o subprecio atípico respecto a la mediana homogenizada).</t>
        </is>
      </c>
      <c r="B48" s="2" t="n"/>
    </row>
    <row r="49">
      <c r="A49" s="2" t="inlineStr">
        <is>
          <t>• CV de arriendo = 22.32% &gt; 7,5% (Res. 620/2008, Art. 11): la muestra no es homogénea; se adopta la MEDIA ponderada del conjunto depurado como valor más probable (referencial) y se recomienda reforzar el número de comparables.</t>
        </is>
      </c>
      <c r="B49" s="2" t="n"/>
    </row>
    <row r="50">
      <c r="A50" s="2" t="inlineStr">
        <is>
          <t>• Depreciación Fitto-Corvini para estado Bien mantenido: coeficientes parciales del spec; completar con la Resolución 620/2008 antes de uso oficial.</t>
        </is>
      </c>
      <c r="B50"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2026-09-11T01:24:32Z</dcterms:created>
  <dcterms:modified xmlns:dcterms="http://purl.org/dc/terms/" xmlns:xsi="http://www.w3.org/2001/XMLSchema-instance" xsi:type="dcterms:W3CDTF">2026-09-11T01:24:32Z</dcterms:modified>
</cp:coreProperties>
</file>