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OS INMUEBLE" sheetId="1" state="visible" r:id="rId1"/>
    <sheet xmlns:r="http://schemas.openxmlformats.org/officeDocument/2006/relationships" name="COMPARABLES" sheetId="2" state="visible" r:id="rId2"/>
    <sheet xmlns:r="http://schemas.openxmlformats.org/officeDocument/2006/relationships" name="ACM ANÁLISIS" sheetId="3" state="visible" r:id="rId3"/>
    <sheet xmlns:r="http://schemas.openxmlformats.org/officeDocument/2006/relationships" name="COSTO REPOSICIÓN" sheetId="4" state="visible" r:id="rId4"/>
    <sheet xmlns:r="http://schemas.openxmlformats.org/officeDocument/2006/relationships" name="RESUMEN" sheetId="5" state="visible" r:id="rId5"/>
  </sheets>
  <definedNames/>
  <calcPr calcId="124519" fullCalcOnLoad="1"/>
</workbook>
</file>

<file path=xl/styles.xml><?xml version="1.0" encoding="utf-8"?>
<styleSheet xmlns="http://schemas.openxmlformats.org/spreadsheetml/2006/main">
  <numFmts count="2">
    <numFmt numFmtId="164" formatCode="&quot;$ &quot;#,##0"/>
    <numFmt numFmtId="165" formatCode="0.0000"/>
  </numFmts>
  <fonts count="9">
    <font>
      <name val="Calibri"/>
      <family val="2"/>
      <color theme="1"/>
      <sz val="11"/>
      <scheme val="minor"/>
    </font>
    <font>
      <name val="Aptos Narrow"/>
      <b val="1"/>
      <color rgb="FF243D6B"/>
      <sz val="12"/>
    </font>
    <font>
      <name val="Aptos Narrow"/>
      <b val="1"/>
    </font>
    <font>
      <name val="Aptos Narrow"/>
      <b val="1"/>
      <color rgb="FFFFFFFF"/>
      <sz val="10"/>
    </font>
    <font>
      <name val="Aptos Narrow"/>
      <color rgb="FF1A56DB"/>
      <u val="single"/>
    </font>
    <font>
      <name val="Aptos Narrow"/>
      <i val="1"/>
      <color rgb="FF888888"/>
      <sz val="8"/>
    </font>
    <font>
      <name val="Aptos Narrow"/>
      <sz val="8"/>
    </font>
    <font>
      <name val="Aptos Narrow"/>
      <i val="1"/>
      <color rgb="FF9A6A00"/>
      <sz val="8"/>
    </font>
    <font>
      <name val="Aptos Narrow"/>
      <color theme="1"/>
      <sz val="11"/>
    </font>
  </fonts>
  <fills count="4">
    <fill>
      <patternFill/>
    </fill>
    <fill>
      <patternFill patternType="gray125"/>
    </fill>
    <fill>
      <patternFill patternType="solid">
        <fgColor rgb="FFEEF2F8"/>
      </patternFill>
    </fill>
    <fill>
      <patternFill patternType="solid">
        <fgColor rgb="FF1A2840"/>
      </patternFill>
    </fill>
  </fills>
  <borders count="2">
    <border>
      <left/>
      <right/>
      <top/>
      <bottom/>
      <diagonal/>
    </border>
    <border>
      <left style="thin">
        <color rgb="FFB8D0E8"/>
      </left>
      <right style="thin">
        <color rgb="FFB8D0E8"/>
      </right>
      <top style="thin">
        <color rgb="FFB8D0E8"/>
      </top>
      <bottom style="thin">
        <color rgb="FFB8D0E8"/>
      </bottom>
    </border>
  </borders>
  <cellStyleXfs count="1">
    <xf numFmtId="0" fontId="0" fillId="0" borderId="0"/>
  </cellStyleXfs>
  <cellXfs count="16">
    <xf numFmtId="0" fontId="0" fillId="0" borderId="0" pivotButton="0" quotePrefix="0" xfId="0"/>
    <xf numFmtId="0" fontId="1" fillId="0" borderId="0" pivotButton="0" quotePrefix="0" xfId="0"/>
    <xf numFmtId="0" fontId="8" fillId="0" borderId="0" pivotButton="0" quotePrefix="0" xfId="0"/>
    <xf numFmtId="0" fontId="2" fillId="2" borderId="0" pivotButton="0" quotePrefix="0" xfId="0"/>
    <xf numFmtId="0" fontId="3" fillId="3" borderId="1" applyAlignment="1" pivotButton="0" quotePrefix="0" xfId="0">
      <alignment horizontal="center" vertical="center" wrapText="1"/>
    </xf>
    <xf numFmtId="0" fontId="8" fillId="0" borderId="1" pivotButton="0" quotePrefix="0" xfId="0"/>
    <xf numFmtId="4" fontId="8" fillId="0" borderId="1" pivotButton="0" quotePrefix="0" xfId="0"/>
    <xf numFmtId="164" fontId="8" fillId="0" borderId="1" pivotButton="0" quotePrefix="0" xfId="0"/>
    <xf numFmtId="165" fontId="8" fillId="0" borderId="1" pivotButton="0" quotePrefix="0" xfId="0"/>
    <xf numFmtId="0" fontId="4" fillId="0" borderId="1" applyAlignment="1" pivotButton="0" quotePrefix="0" xfId="0">
      <alignment horizontal="center"/>
    </xf>
    <xf numFmtId="164" fontId="8" fillId="0" borderId="0" pivotButton="0" quotePrefix="0" xfId="0"/>
    <xf numFmtId="4" fontId="8" fillId="0" borderId="0" pivotButton="0" quotePrefix="0" xfId="0"/>
    <xf numFmtId="164" fontId="2" fillId="0" borderId="0" pivotButton="0" quotePrefix="0" xfId="0"/>
    <xf numFmtId="0" fontId="5" fillId="0" borderId="0" pivotButton="0" quotePrefix="0" xfId="0"/>
    <xf numFmtId="0" fontId="6" fillId="0" borderId="0" pivotButton="0" quotePrefix="0" xfId="0"/>
    <xf numFmtId="0" fontId="7" fillId="0" borderId="0" applyAlignment="1" pivotButton="0" quotePrefix="0" xfId="0">
      <alignment vertical="top" wrapText="1"/>
    </xf>
  </cellXfs>
  <cellStyles count="1">
    <cellStyle name="Normal" xfId="0" builtinId="0" hidden="0"/>
  </cellStyles>
  <dxfs count="1">
    <dxf>
      <fill>
        <patternFill patternType="solid">
          <fgColor rgb="FFFFF2A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32" customWidth="1" min="1" max="1"/>
    <col width="50" customWidth="1" min="2" max="2"/>
  </cols>
  <sheetData>
    <row r="1">
      <c r="A1" s="1" t="inlineStr">
        <is>
          <t>Datos del inmueble</t>
        </is>
      </c>
      <c r="B1" s="2" t="n"/>
    </row>
    <row r="2">
      <c r="A2" s="2" t="n"/>
      <c r="B2" s="2" t="n"/>
    </row>
    <row r="3">
      <c r="A3" s="3" t="inlineStr">
        <is>
          <t>Matrícula inmobiliaria</t>
        </is>
      </c>
      <c r="B3" s="2" t="inlineStr">
        <is>
          <t>040-269131</t>
        </is>
      </c>
    </row>
    <row r="4">
      <c r="A4" s="3" t="inlineStr">
        <is>
          <t>Dirección</t>
        </is>
      </c>
      <c r="B4" s="2" t="inlineStr">
        <is>
          <t>EDIF.MOLINA Y PRIETO PROPIEDAD HORIZONTAL. 2) CL 91 # 46 - 66 VVDA 1 PISO</t>
        </is>
      </c>
    </row>
    <row r="5">
      <c r="A5" s="3" t="inlineStr">
        <is>
          <t>Ciudad</t>
        </is>
      </c>
      <c r="B5" s="2" t="inlineStr">
        <is>
          <t>BARRANQUILLA</t>
        </is>
      </c>
    </row>
    <row r="6">
      <c r="A6" s="3" t="inlineStr">
        <is>
          <t>Barrio</t>
        </is>
      </c>
      <c r="B6" s="2" t="inlineStr">
        <is>
          <t>El Golf / Prado Norte</t>
        </is>
      </c>
    </row>
    <row r="7">
      <c r="A7" s="3" t="inlineStr">
        <is>
          <t>Tipo de inmueble</t>
        </is>
      </c>
      <c r="B7" s="2" t="inlineStr">
        <is>
          <t>CASA</t>
        </is>
      </c>
    </row>
    <row r="8">
      <c r="A8" s="3" t="inlineStr">
        <is>
          <t>Área privada (m²)</t>
        </is>
      </c>
      <c r="B8" s="2" t="n">
        <v>430.98</v>
      </c>
    </row>
    <row r="9">
      <c r="A9" s="3" t="inlineStr">
        <is>
          <t>Área construida (m²)</t>
        </is>
      </c>
      <c r="B9" s="2" t="n"/>
    </row>
    <row r="10">
      <c r="A10" s="3" t="inlineStr">
        <is>
          <t>Piso</t>
        </is>
      </c>
      <c r="B10" s="2" t="n">
        <v>2</v>
      </c>
    </row>
    <row r="11">
      <c r="A11" s="3" t="inlineStr">
        <is>
          <t>Pisos del edificio</t>
        </is>
      </c>
      <c r="B11" s="2" t="n"/>
    </row>
    <row r="12">
      <c r="A12" s="3" t="inlineStr">
        <is>
          <t>Habitaciones</t>
        </is>
      </c>
      <c r="B12" s="2" t="n">
        <v>4</v>
      </c>
    </row>
    <row r="13">
      <c r="A13" s="3" t="inlineStr">
        <is>
          <t>Baños</t>
        </is>
      </c>
      <c r="B13" s="2" t="n"/>
    </row>
    <row r="14">
      <c r="A14" s="3" t="inlineStr">
        <is>
          <t>Estrato</t>
        </is>
      </c>
      <c r="B14" s="2" t="n">
        <v>6</v>
      </c>
    </row>
    <row r="15">
      <c r="A15" s="3" t="inlineStr">
        <is>
          <t>Antigüedad (años)</t>
        </is>
      </c>
      <c r="B15" s="2" t="n">
        <v>32</v>
      </c>
    </row>
    <row r="16">
      <c r="A16" s="3" t="inlineStr">
        <is>
          <t>Vida útil (años)</t>
        </is>
      </c>
      <c r="B16" s="2" t="n">
        <v>100</v>
      </c>
    </row>
    <row r="17">
      <c r="A17" s="3" t="inlineStr">
        <is>
          <t>Estado de conservación</t>
        </is>
      </c>
      <c r="B17" s="2" t="inlineStr">
        <is>
          <t>Usado (acabados originales)</t>
        </is>
      </c>
    </row>
    <row r="18">
      <c r="A18" s="3" t="inlineStr">
        <is>
          <t>Propietario actual</t>
        </is>
      </c>
      <c r="B18" s="2" t="inlineStr">
        <is>
          <t>MOLINA PRIETO LEONOR</t>
        </is>
      </c>
    </row>
    <row r="19">
      <c r="A19" s="3" t="inlineStr">
        <is>
          <t>Código catastral</t>
        </is>
      </c>
      <c r="B19" s="2" t="inlineStr">
        <is>
          <t>080010103000003660902900000004</t>
        </is>
      </c>
    </row>
    <row r="20">
      <c r="A20" s="3" t="inlineStr">
        <is>
          <t>NUPRE</t>
        </is>
      </c>
      <c r="B20" s="2" t="inlineStr">
        <is>
          <t>AFT0029NPOE</t>
        </is>
      </c>
    </row>
    <row r="21">
      <c r="A21" s="3" t="inlineStr">
        <is>
          <t>Estado del folio</t>
        </is>
      </c>
      <c r="B21" s="2" t="inlineStr">
        <is>
          <t>ACTIVO</t>
        </is>
      </c>
    </row>
    <row r="22">
      <c r="A22" s="3" t="inlineStr">
        <is>
          <t>Gravámenes activos</t>
        </is>
      </c>
      <c r="B22" s="2" t="inlineStr">
        <is>
          <t>HIPOTECA (anot. 006, 30-09-2002); EMBARGO (anot. 008, 14-09-2012)</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12"/>
  <sheetViews>
    <sheetView workbookViewId="0">
      <selection activeCell="A1" sqref="A1"/>
    </sheetView>
  </sheetViews>
  <sheetFormatPr baseColWidth="8" defaultRowHeight="15"/>
  <cols>
    <col width="13" customWidth="1" min="1" max="1"/>
    <col width="19" customWidth="1" min="2" max="2"/>
    <col width="9" customWidth="1" min="3" max="3"/>
    <col width="15" customWidth="1" min="4" max="4"/>
    <col width="13" customWidth="1" min="5" max="5"/>
    <col width="11" customWidth="1" min="6" max="6"/>
    <col width="15" customWidth="1" min="7" max="7"/>
    <col width="10" customWidth="1" min="8" max="8"/>
    <col width="6" customWidth="1" min="9" max="9"/>
    <col width="7" customWidth="1" min="10" max="10"/>
    <col width="8" customWidth="1" min="11" max="11"/>
    <col width="9" customWidth="1" min="12" max="12"/>
    <col width="15" customWidth="1" min="13" max="13"/>
  </cols>
  <sheetData>
    <row r="1">
      <c r="A1" s="1" t="inlineStr">
        <is>
          <t>COMPARABLES DE VENTA</t>
        </is>
      </c>
      <c r="B1" s="2" t="n"/>
      <c r="C1" s="2" t="n"/>
      <c r="D1" s="2" t="n"/>
      <c r="E1" s="2" t="n"/>
      <c r="F1" s="2" t="n"/>
      <c r="G1" s="2" t="n"/>
      <c r="H1" s="2" t="n"/>
      <c r="I1" s="2" t="n"/>
      <c r="J1" s="2" t="n"/>
      <c r="K1" s="2" t="n"/>
      <c r="L1" s="2" t="n"/>
      <c r="M1" s="2" t="n"/>
    </row>
    <row r="2">
      <c r="A2" s="4" t="inlineStr">
        <is>
          <t>Portal</t>
        </is>
      </c>
      <c r="B2" s="4" t="inlineStr">
        <is>
          <t>Barrio</t>
        </is>
      </c>
      <c r="C2" s="4" t="inlineStr">
        <is>
          <t>Área m²</t>
        </is>
      </c>
      <c r="D2" s="4" t="inlineStr">
        <is>
          <t>Precio (COP)</t>
        </is>
      </c>
      <c r="E2" s="4" t="inlineStr">
        <is>
          <t>Precio/m²</t>
        </is>
      </c>
      <c r="F2" s="4" t="inlineStr">
        <is>
          <t>Factor homog.</t>
        </is>
      </c>
      <c r="G2" s="4" t="inlineStr">
        <is>
          <t>Precio/m² homog.</t>
        </is>
      </c>
      <c r="H2" s="4" t="inlineStr">
        <is>
          <t>Peso fuente</t>
        </is>
      </c>
      <c r="I2" s="4" t="inlineStr">
        <is>
          <t>Hab</t>
        </is>
      </c>
      <c r="J2" s="4" t="inlineStr">
        <is>
          <t>Baños</t>
        </is>
      </c>
      <c r="K2" s="4" t="inlineStr">
        <is>
          <t>Estrato</t>
        </is>
      </c>
      <c r="L2" s="4" t="inlineStr">
        <is>
          <t>Enlace</t>
        </is>
      </c>
      <c r="M2" s="4" t="inlineStr">
        <is>
          <t>INCLUIR EN ACM</t>
        </is>
      </c>
    </row>
    <row r="3">
      <c r="A3" s="5" t="inlineStr">
        <is>
          <t>fincaraiz</t>
        </is>
      </c>
      <c r="B3" s="5" t="inlineStr">
        <is>
          <t>El golf</t>
        </is>
      </c>
      <c r="C3" s="6" t="n">
        <v>409</v>
      </c>
      <c r="D3" s="7" t="n">
        <v>3800000000</v>
      </c>
      <c r="E3" s="7">
        <f>IF(C3=0,0,D3/C3)</f>
        <v/>
      </c>
      <c r="F3" s="8" t="n">
        <v>0.650742</v>
      </c>
      <c r="G3" s="7">
        <f>E3*F3</f>
        <v/>
      </c>
      <c r="H3" s="8" t="n">
        <v>1</v>
      </c>
      <c r="I3" s="5" t="n">
        <v>5</v>
      </c>
      <c r="J3" s="5" t="n">
        <v>5</v>
      </c>
      <c r="K3" s="5" t="n">
        <v>6</v>
      </c>
      <c r="L3" s="9">
        <f>HYPERLINK("https://www.fincaraiz.com.co/casa-en-venta-en-el-golf-barranquilla/11100778","🔗 Ver")</f>
        <v/>
      </c>
      <c r="M3" s="5" t="inlineStr">
        <is>
          <t>Sí</t>
        </is>
      </c>
    </row>
    <row r="4">
      <c r="A4" s="5" t="inlineStr">
        <is>
          <t>fincaraiz</t>
        </is>
      </c>
      <c r="B4" s="5" t="inlineStr">
        <is>
          <t>El golf</t>
        </is>
      </c>
      <c r="C4" s="6" t="n">
        <v>409</v>
      </c>
      <c r="D4" s="7" t="n">
        <v>3500000000</v>
      </c>
      <c r="E4" s="7">
        <f>IF(C4=0,0,D4/C4)</f>
        <v/>
      </c>
      <c r="F4" s="8" t="n">
        <v>0.724695</v>
      </c>
      <c r="G4" s="7">
        <f>E4*F4</f>
        <v/>
      </c>
      <c r="H4" s="8" t="n">
        <v>1</v>
      </c>
      <c r="I4" s="5" t="n">
        <v>5</v>
      </c>
      <c r="J4" s="5" t="n">
        <v>4</v>
      </c>
      <c r="K4" s="5" t="n">
        <v>6</v>
      </c>
      <c r="L4" s="9">
        <f>HYPERLINK("https://www.fincaraiz.com.co/casa-en-venta-en-el-golf-barranquilla/191775951","🔗 Ver")</f>
        <v/>
      </c>
      <c r="M4" s="5" t="inlineStr">
        <is>
          <t>Sí</t>
        </is>
      </c>
    </row>
    <row r="5">
      <c r="A5" s="5" t="inlineStr">
        <is>
          <t>fincaraiz</t>
        </is>
      </c>
      <c r="B5" s="5" t="inlineStr">
        <is>
          <t>El golf</t>
        </is>
      </c>
      <c r="C5" s="6" t="n">
        <v>430</v>
      </c>
      <c r="D5" s="7" t="n">
        <v>2500000000</v>
      </c>
      <c r="E5" s="7">
        <f>IF(C5=0,0,D5/C5)</f>
        <v/>
      </c>
      <c r="F5" s="8" t="n">
        <v>0.788117</v>
      </c>
      <c r="G5" s="7">
        <f>E5*F5</f>
        <v/>
      </c>
      <c r="H5" s="8" t="n">
        <v>1</v>
      </c>
      <c r="I5" s="5" t="n">
        <v>4</v>
      </c>
      <c r="J5" s="5" t="n">
        <v>5</v>
      </c>
      <c r="K5" s="5" t="n">
        <v>6</v>
      </c>
      <c r="L5" s="9">
        <f>HYPERLINK("https://www.fincaraiz.com.co/casa-en-venta-en-el-golf-barranquilla/191427472","🔗 Ver")</f>
        <v/>
      </c>
      <c r="M5" s="5" t="inlineStr">
        <is>
          <t>Sí</t>
        </is>
      </c>
    </row>
    <row r="6">
      <c r="A6" s="5" t="inlineStr">
        <is>
          <t>properati</t>
        </is>
      </c>
      <c r="B6" s="5" t="inlineStr">
        <is>
          <t>Ríomar</t>
        </is>
      </c>
      <c r="C6" s="6" t="n">
        <v>450</v>
      </c>
      <c r="D6" s="7" t="n">
        <v>3900000000</v>
      </c>
      <c r="E6" s="7">
        <f>IF(C6=0,0,D6/C6)</f>
        <v/>
      </c>
      <c r="F6" s="8" t="n">
        <v>0.889145</v>
      </c>
      <c r="G6" s="7">
        <f>E6*F6</f>
        <v/>
      </c>
      <c r="H6" s="8" t="n">
        <v>0.68</v>
      </c>
      <c r="I6" s="5" t="n">
        <v>4</v>
      </c>
      <c r="J6" s="5" t="n">
        <v>8</v>
      </c>
      <c r="K6" s="5" t="n"/>
      <c r="L6" s="9">
        <f>HYPERLINK("https://www.properati.com.co/detalle/14032-32-188e-2ead3572d3ab-19a5224-9a3c-7c86","🔗 Ver")</f>
        <v/>
      </c>
      <c r="M6" s="5" t="inlineStr">
        <is>
          <t>Sí</t>
        </is>
      </c>
    </row>
    <row r="7">
      <c r="A7" s="2" t="n"/>
      <c r="B7" s="2" t="n"/>
      <c r="C7" s="2" t="n"/>
      <c r="D7" s="2" t="n"/>
      <c r="E7" s="2" t="n"/>
      <c r="F7" s="2" t="n"/>
      <c r="G7" s="2" t="n"/>
      <c r="H7" s="2" t="n"/>
      <c r="I7" s="2" t="n"/>
      <c r="J7" s="2" t="n"/>
      <c r="K7" s="2" t="n"/>
      <c r="L7" s="2" t="n"/>
      <c r="M7" s="2" t="n"/>
    </row>
    <row r="8">
      <c r="A8" s="1" t="inlineStr">
        <is>
          <t>COMPARABLES DE ARRIENDO</t>
        </is>
      </c>
      <c r="B8" s="2" t="n"/>
      <c r="C8" s="2" t="n"/>
      <c r="D8" s="2" t="n"/>
      <c r="E8" s="2" t="n"/>
      <c r="F8" s="2" t="n"/>
      <c r="G8" s="2" t="n"/>
      <c r="H8" s="2" t="n"/>
      <c r="I8" s="2" t="n"/>
      <c r="J8" s="2" t="n"/>
      <c r="K8" s="2" t="n"/>
      <c r="L8" s="2" t="n"/>
      <c r="M8" s="2" t="n"/>
    </row>
    <row r="9">
      <c r="A9" s="4" t="inlineStr">
        <is>
          <t>Portal</t>
        </is>
      </c>
      <c r="B9" s="4" t="inlineStr">
        <is>
          <t>Barrio</t>
        </is>
      </c>
      <c r="C9" s="4" t="inlineStr">
        <is>
          <t>Área m²</t>
        </is>
      </c>
      <c r="D9" s="4" t="inlineStr">
        <is>
          <t>Precio (COP)</t>
        </is>
      </c>
      <c r="E9" s="4" t="inlineStr">
        <is>
          <t>Precio/m²</t>
        </is>
      </c>
      <c r="F9" s="4" t="inlineStr">
        <is>
          <t>Factor homog.</t>
        </is>
      </c>
      <c r="G9" s="4" t="inlineStr">
        <is>
          <t>Precio/m² homog.</t>
        </is>
      </c>
      <c r="H9" s="4" t="inlineStr">
        <is>
          <t>Peso fuente</t>
        </is>
      </c>
      <c r="I9" s="4" t="inlineStr">
        <is>
          <t>Hab</t>
        </is>
      </c>
      <c r="J9" s="4" t="inlineStr">
        <is>
          <t>Baños</t>
        </is>
      </c>
      <c r="K9" s="4" t="inlineStr">
        <is>
          <t>Estrato</t>
        </is>
      </c>
      <c r="L9" s="4" t="inlineStr">
        <is>
          <t>Enlace</t>
        </is>
      </c>
      <c r="M9" s="4" t="inlineStr">
        <is>
          <t>INCLUIR EN ACM</t>
        </is>
      </c>
    </row>
    <row r="10">
      <c r="A10" s="5" t="inlineStr">
        <is>
          <t>fincaraiz</t>
        </is>
      </c>
      <c r="B10" s="5" t="inlineStr">
        <is>
          <t>El golf</t>
        </is>
      </c>
      <c r="C10" s="6" t="n">
        <v>409</v>
      </c>
      <c r="D10" s="7" t="n">
        <v>15000000</v>
      </c>
      <c r="E10" s="7">
        <f>IF(C10=0,0,D10/C10)</f>
        <v/>
      </c>
      <c r="F10" s="8" t="n">
        <v>0.610501</v>
      </c>
      <c r="G10" s="7">
        <f>E10*F10</f>
        <v/>
      </c>
      <c r="H10" s="8" t="n">
        <v>1</v>
      </c>
      <c r="I10" s="5" t="n">
        <v>5</v>
      </c>
      <c r="J10" s="5" t="n">
        <v>5</v>
      </c>
      <c r="K10" s="5" t="n">
        <v>6</v>
      </c>
      <c r="L10" s="9">
        <f>HYPERLINK("https://www.fincaraiz.com.co/casa-en-arriendo-en-el-golf-barranquilla/11100740","🔗 Ver")</f>
        <v/>
      </c>
      <c r="M10" s="5" t="inlineStr">
        <is>
          <t>Sí</t>
        </is>
      </c>
    </row>
    <row r="11">
      <c r="A11" s="5" t="inlineStr">
        <is>
          <t>fincaraiz</t>
        </is>
      </c>
      <c r="B11" s="5" t="inlineStr">
        <is>
          <t>El golf</t>
        </is>
      </c>
      <c r="C11" s="6" t="n">
        <v>408</v>
      </c>
      <c r="D11" s="7" t="n">
        <v>15000000</v>
      </c>
      <c r="E11" s="7">
        <f>IF(C11=0,0,D11/C11)</f>
        <v/>
      </c>
      <c r="F11" s="8" t="n">
        <v>0.793404</v>
      </c>
      <c r="G11" s="7">
        <f>E11*F11</f>
        <v/>
      </c>
      <c r="H11" s="8" t="n">
        <v>1</v>
      </c>
      <c r="I11" s="5" t="n">
        <v>3</v>
      </c>
      <c r="J11" s="5" t="n">
        <v>6</v>
      </c>
      <c r="K11" s="5" t="n">
        <v>6</v>
      </c>
      <c r="L11" s="9">
        <f>HYPERLINK("https://www.fincaraiz.com.co/casa-en-arriendo-en-el-golf-barranquilla/191706368","🔗 Ver")</f>
        <v/>
      </c>
      <c r="M11" s="5" t="inlineStr">
        <is>
          <t>Sí</t>
        </is>
      </c>
    </row>
    <row r="12">
      <c r="A12" s="5" t="inlineStr">
        <is>
          <t>properati</t>
        </is>
      </c>
      <c r="B12" s="5" t="inlineStr">
        <is>
          <t>Norte-Centro Histórico</t>
        </is>
      </c>
      <c r="C12" s="6" t="n">
        <v>436</v>
      </c>
      <c r="D12" s="7" t="n">
        <v>15000000</v>
      </c>
      <c r="E12" s="7">
        <f>IF(C12=0,0,D12/C12)</f>
        <v/>
      </c>
      <c r="F12" s="8" t="n">
        <v>0.832138</v>
      </c>
      <c r="G12" s="7">
        <f>E12*F12</f>
        <v/>
      </c>
      <c r="H12" s="8" t="n">
        <v>0.68</v>
      </c>
      <c r="I12" s="5" t="n">
        <v>4</v>
      </c>
      <c r="J12" s="5" t="n">
        <v>3</v>
      </c>
      <c r="K12" s="5" t="n"/>
      <c r="L12" s="9">
        <f>HYPERLINK("https://www.properati.com.co/detalle/14032-32-217-11a1730cd04c-19a6189-a819-7f3f","🔗 Ver")</f>
        <v/>
      </c>
      <c r="M12" s="5" t="inlineStr">
        <is>
          <t>Sí</t>
        </is>
      </c>
    </row>
  </sheetData>
  <conditionalFormatting sqref="G3:G6">
    <cfRule type="expression" priority="1" dxfId="0">
      <formula>ABS(G3-AVERAGE($G$3:$G$6))&gt;2*STDEV($G$3:$G$6)</formula>
    </cfRule>
  </conditionalFormatting>
  <conditionalFormatting sqref="G10:G12">
    <cfRule type="expression" priority="2" dxfId="0">
      <formula>ABS(G10-AVERAGE($G$10:$G$12))&gt;2*STDEV($G$10:$G$12)</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36" customWidth="1" min="1" max="1"/>
    <col width="24" customWidth="1" min="2" max="2"/>
  </cols>
  <sheetData>
    <row r="1">
      <c r="A1" s="1" t="inlineStr">
        <is>
          <t>Análisis de venta (ponderado por fuente)</t>
        </is>
      </c>
      <c r="B1" s="2" t="n"/>
    </row>
    <row r="2">
      <c r="A2" s="3" t="inlineStr">
        <is>
          <t>Comparables incluidos</t>
        </is>
      </c>
      <c r="B2" s="2">
        <f>COUNTIF(COMPARABLES!M3:M6,"Sí")</f>
        <v/>
      </c>
    </row>
    <row r="3">
      <c r="A3" s="3" t="inlineStr">
        <is>
          <t>Promedio ponderado /m² (vivo)</t>
        </is>
      </c>
      <c r="B3" s="10">
        <f>IFERROR(SUMPRODUCT((COMPARABLES!M3:M6="Sí")*COMPARABLES!H3:H6*COMPARABLES!G3:G6)/SUMPRODUCT((COMPARABLES!M3:M6="Sí")*COMPARABLES!H3:H6),0)</f>
        <v/>
      </c>
    </row>
    <row r="4">
      <c r="A4" s="3" t="inlineStr">
        <is>
          <t>Promedio sin ponderar /m² (verif.)</t>
        </is>
      </c>
      <c r="B4" s="10">
        <f>IFERROR(AVERAGEIF(COMPARABLES!M3:M6,"Sí",COMPARABLES!G3:G6),0)</f>
        <v/>
      </c>
    </row>
    <row r="5">
      <c r="A5" s="3" t="inlineStr">
        <is>
          <t>CV ponderado (%) — cálculo ACM</t>
        </is>
      </c>
      <c r="B5" s="11" t="n">
        <v>20.23</v>
      </c>
    </row>
    <row r="6">
      <c r="A6" s="3" t="inlineStr">
        <is>
          <t>Precio/m² adoptado</t>
        </is>
      </c>
      <c r="B6" s="10">
        <f>B3</f>
        <v/>
      </c>
    </row>
    <row r="7">
      <c r="A7" s="3" t="inlineStr">
        <is>
          <t>Área del sujeto (m²)</t>
        </is>
      </c>
      <c r="B7" s="11" t="n">
        <v>430.98</v>
      </c>
    </row>
    <row r="8">
      <c r="A8" s="3" t="inlineStr">
        <is>
          <t>VALOR / CANON resultante</t>
        </is>
      </c>
      <c r="B8" s="12">
        <f>B6*B7</f>
        <v/>
      </c>
    </row>
    <row r="9">
      <c r="A9" s="2" t="n"/>
      <c r="B9" s="2" t="n"/>
    </row>
    <row r="10">
      <c r="A10" s="1" t="inlineStr">
        <is>
          <t>Análisis de arriendo (ponderado por fuente)</t>
        </is>
      </c>
      <c r="B10" s="2" t="n"/>
    </row>
    <row r="11">
      <c r="A11" s="3" t="inlineStr">
        <is>
          <t>Comparables incluidos</t>
        </is>
      </c>
      <c r="B11" s="2">
        <f>COUNTIF(COMPARABLES!M10:M12,"Sí")</f>
        <v/>
      </c>
    </row>
    <row r="12">
      <c r="A12" s="3" t="inlineStr">
        <is>
          <t>Promedio ponderado /m² (vivo)</t>
        </is>
      </c>
      <c r="B12" s="10">
        <f>IFERROR(SUMPRODUCT((COMPARABLES!M10:M12="Sí")*COMPARABLES!H10:H12*COMPARABLES!G10:G12)/SUMPRODUCT((COMPARABLES!M10:M12="Sí")*COMPARABLES!H10:H12),0)</f>
        <v/>
      </c>
    </row>
    <row r="13">
      <c r="A13" s="3" t="inlineStr">
        <is>
          <t>Promedio sin ponderar /m² (verif.)</t>
        </is>
      </c>
      <c r="B13" s="10">
        <f>IFERROR(AVERAGEIF(COMPARABLES!M10:M12,"Sí",COMPARABLES!G10:G12),0)</f>
        <v/>
      </c>
    </row>
    <row r="14">
      <c r="A14" s="3" t="inlineStr">
        <is>
          <t>CV ponderado (%) — cálculo ACM</t>
        </is>
      </c>
      <c r="B14" s="11" t="n">
        <v>14.8</v>
      </c>
    </row>
    <row r="15">
      <c r="A15" s="3" t="inlineStr">
        <is>
          <t>Precio/m² adoptado</t>
        </is>
      </c>
      <c r="B15" s="10">
        <f>B12</f>
        <v/>
      </c>
    </row>
    <row r="16">
      <c r="A16" s="3" t="inlineStr">
        <is>
          <t>Área del sujeto (m²)</t>
        </is>
      </c>
      <c r="B16" s="11" t="n">
        <v>430.98</v>
      </c>
    </row>
    <row r="17">
      <c r="A17" s="3" t="inlineStr">
        <is>
          <t>VALOR / CANON resultante</t>
        </is>
      </c>
      <c r="B17" s="12">
        <f>B15*B16</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6" customWidth="1" min="1" max="1"/>
    <col width="22" customWidth="1" min="2" max="2"/>
  </cols>
  <sheetData>
    <row r="1">
      <c r="A1" s="1" t="inlineStr">
        <is>
          <t>Costo de reposición (Fitto y Corvini)</t>
        </is>
      </c>
      <c r="B1" s="2" t="n"/>
    </row>
    <row r="2">
      <c r="A2" s="2" t="n"/>
      <c r="B2" s="2" t="n"/>
    </row>
    <row r="3">
      <c r="A3" s="3" t="inlineStr">
        <is>
          <t>Antigüedad (años)</t>
        </is>
      </c>
      <c r="B3" s="2" t="n">
        <v>32</v>
      </c>
    </row>
    <row r="4">
      <c r="A4" s="3" t="inlineStr">
        <is>
          <t>Vida útil (años)</t>
        </is>
      </c>
      <c r="B4" s="2" t="n">
        <v>100</v>
      </c>
    </row>
    <row r="5">
      <c r="A5" s="3" t="inlineStr">
        <is>
          <t>Precio/m² a nuevo (depreciado)</t>
        </is>
      </c>
      <c r="B5" s="10" t="n">
        <v>1661051.84</v>
      </c>
    </row>
    <row r="6">
      <c r="A6" s="3" t="inlineStr">
        <is>
          <t>Área (m²)</t>
        </is>
      </c>
      <c r="B6" s="11" t="n">
        <v>430.98</v>
      </c>
    </row>
    <row r="7">
      <c r="A7" s="3" t="inlineStr">
        <is>
          <t>Valor por costo de reposición</t>
        </is>
      </c>
      <c r="B7" s="10" t="n">
        <v>715880122</v>
      </c>
    </row>
    <row r="8">
      <c r="A8" s="3" t="inlineStr">
        <is>
          <t>% terreno</t>
        </is>
      </c>
      <c r="B8" s="11" t="n">
        <v>72.3</v>
      </c>
    </row>
    <row r="9">
      <c r="A9" s="3" t="inlineStr">
        <is>
          <t>% construcción</t>
        </is>
      </c>
      <c r="B9" s="11" t="n">
        <v>27.7</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47"/>
  <sheetViews>
    <sheetView workbookViewId="0">
      <selection activeCell="A1" sqref="A1"/>
    </sheetView>
  </sheetViews>
  <sheetFormatPr baseColWidth="8" defaultRowHeight="15"/>
  <cols>
    <col width="36" customWidth="1" min="1" max="1"/>
    <col width="44" customWidth="1" min="2" max="2"/>
  </cols>
  <sheetData>
    <row r="1">
      <c r="A1" s="1" t="inlineStr">
        <is>
          <t>Resumen del ACM</t>
        </is>
      </c>
      <c r="B1" s="2" t="n"/>
    </row>
    <row r="2">
      <c r="A2" s="2" t="n"/>
      <c r="B2" s="2" t="n"/>
    </row>
    <row r="3">
      <c r="A3" s="3" t="inlineStr">
        <is>
          <t>VALOR COMERCIAL DE VENTA (vivo)</t>
        </is>
      </c>
      <c r="B3" s="10">
        <f>'ACM ANÁLISIS'!B8</f>
        <v/>
      </c>
    </row>
    <row r="4">
      <c r="A4" s="3" t="inlineStr">
        <is>
          <t>Valor en letras (cálculo inicial)</t>
        </is>
      </c>
      <c r="B4" s="2" t="inlineStr">
        <is>
          <t>DOS MIL QUINIENTOS OCHENTA Y CUATRO MILLONES SEISCIENTOS SETENTA MIL CIENTO CINCUENTA Y TRES PESOS MONEDA CORRIENTE</t>
        </is>
      </c>
    </row>
    <row r="5">
      <c r="A5" s="3" t="inlineStr">
        <is>
          <t>CANON MENSUAL DE ARRIENDO (vivo)</t>
        </is>
      </c>
      <c r="B5" s="10">
        <f>'ACM ANÁLISIS'!B17</f>
        <v/>
      </c>
    </row>
    <row r="6">
      <c r="A6" s="3" t="inlineStr">
        <is>
          <t>Canon en letras (cálculo inicial)</t>
        </is>
      </c>
      <c r="B6" s="2" t="inlineStr">
        <is>
          <t>ONCE MILLONES CUATROCIENTOS VEINTIDÓS MIL CINCUENTA Y SEIS PESOS MONEDA CORRIENTE</t>
        </is>
      </c>
    </row>
    <row r="7">
      <c r="A7" s="3" t="inlineStr">
        <is>
          <t>Cap rate mensual (%)</t>
        </is>
      </c>
      <c r="B7" s="11">
        <f>IFERROR(B5/B3*100,0)</f>
        <v/>
      </c>
    </row>
    <row r="8">
      <c r="A8" s="3" t="inlineStr">
        <is>
          <t>Cap rate anual (%)</t>
        </is>
      </c>
      <c r="B8" s="11">
        <f>IFERROR(B5/B3*1200,0)</f>
        <v/>
      </c>
    </row>
    <row r="9">
      <c r="A9" s="3" t="inlineStr">
        <is>
          <t>Capitalización de rentas (Art. 2)</t>
        </is>
      </c>
      <c r="B9" s="10" t="n">
        <v>1713308410.5</v>
      </c>
    </row>
    <row r="10">
      <c r="A10" s="3" t="inlineStr">
        <is>
          <t>Costo de reposición (Art. 3)</t>
        </is>
      </c>
      <c r="B10" s="10" t="n">
        <v>715880122</v>
      </c>
    </row>
    <row r="11">
      <c r="A11" s="2" t="n"/>
      <c r="B11" s="2" t="n"/>
    </row>
    <row r="12">
      <c r="A12" s="1" t="inlineStr">
        <is>
          <t>Precio recomendado (estrategia de venta)</t>
        </is>
      </c>
      <c r="B12" s="2" t="n"/>
    </row>
    <row r="13">
      <c r="A13" s="3" t="inlineStr">
        <is>
          <t>Precio de captación</t>
        </is>
      </c>
      <c r="B13" s="10" t="n">
        <v>1400000000</v>
      </c>
    </row>
    <row r="14">
      <c r="A14" s="3" t="inlineStr">
        <is>
          <t>Precio/m² de captación</t>
        </is>
      </c>
      <c r="B14" s="10" t="n">
        <v>3248410.6</v>
      </c>
    </row>
    <row r="15">
      <c r="A15" s="3" t="inlineStr">
        <is>
          <t>Precio de mercado (valor adoptado)</t>
        </is>
      </c>
      <c r="B15" s="10">
        <f>B3</f>
        <v/>
      </c>
    </row>
    <row r="16">
      <c r="A16" s="3" t="inlineStr">
        <is>
          <t>Promedio /m² ACM</t>
        </is>
      </c>
      <c r="B16" s="10">
        <f>IFERROR(B3/430.98,0)</f>
        <v/>
      </c>
    </row>
    <row r="17">
      <c r="A17" s="3" t="inlineStr">
        <is>
          <t>Precio máximo (−2 %)</t>
        </is>
      </c>
      <c r="B17" s="10">
        <f>B3*0.98</f>
        <v/>
      </c>
    </row>
    <row r="18">
      <c r="A18" s="3" t="inlineStr">
        <is>
          <t>Por debajo (−10 %)</t>
        </is>
      </c>
      <c r="B18" s="10">
        <f>B3*0.1</f>
        <v/>
      </c>
    </row>
    <row r="19">
      <c r="A19" s="3" t="inlineStr">
        <is>
          <t>PRECIO IDEAL</t>
        </is>
      </c>
      <c r="B19" s="12">
        <f>B3*0.9</f>
        <v/>
      </c>
    </row>
    <row r="20">
      <c r="A20" s="2" t="n"/>
      <c r="B20" s="2" t="n"/>
    </row>
    <row r="21">
      <c r="A21" s="3" t="inlineStr">
        <is>
          <t>Asimetría venta / CV homogéneo</t>
        </is>
      </c>
      <c r="B21" s="2" t="inlineStr">
        <is>
          <t>0.027 / no (&gt;7,5%)</t>
        </is>
      </c>
    </row>
    <row r="22">
      <c r="A22" s="3" t="inlineStr">
        <is>
          <t>Período de mercadeo</t>
        </is>
      </c>
      <c r="B22" s="2" t="inlineStr">
        <is>
          <t>9 a 12 meses</t>
        </is>
      </c>
    </row>
    <row r="23">
      <c r="A23" s="3" t="inlineStr">
        <is>
          <t>Vigencia</t>
        </is>
      </c>
      <c r="B23" s="2" t="inlineStr">
        <is>
          <t>12 meses desde la fecha del estudio (vigencia usual del avalúo comercial).</t>
        </is>
      </c>
    </row>
    <row r="24">
      <c r="A24" s="2" t="n"/>
      <c r="B24" s="2" t="n"/>
    </row>
    <row r="25">
      <c r="A25" s="3" t="inlineStr">
        <is>
          <t>Índice de sector</t>
        </is>
      </c>
      <c r="B25" s="2" t="inlineStr">
        <is>
          <t>tabla curada de sectores (barrio n=0, pool=30)</t>
        </is>
      </c>
    </row>
    <row r="26">
      <c r="A26" s="3" t="inlineStr">
        <is>
          <t>Mezcla de fuentes (venta)</t>
        </is>
      </c>
      <c r="B26" s="2" t="inlineStr">
        <is>
          <t>fincaraiz: 3, properati: 1</t>
        </is>
      </c>
    </row>
    <row r="27">
      <c r="A27" s="3" t="inlineStr">
        <is>
          <t>Confianza venta / arriendo</t>
        </is>
      </c>
      <c r="B27" s="2" t="inlineStr">
        <is>
          <t>baja / media</t>
        </is>
      </c>
    </row>
    <row r="28">
      <c r="A28" s="3" t="inlineStr">
        <is>
          <t>Fuente autoritativa</t>
        </is>
      </c>
      <c r="B28" s="2" t="inlineStr">
        <is>
          <t>ninguna</t>
        </is>
      </c>
    </row>
    <row r="29">
      <c r="A29" s="2" t="n"/>
      <c r="B29" s="2" t="n"/>
    </row>
    <row r="30">
      <c r="A30" s="13" t="inlineStr">
        <is>
          <t>Los valores marcados (vivo) se recalculan al cambiar la columna INCLUIR EN ACM en la hoja COMPARABLES. El valor en letras corresponde al cálculo inicial.</t>
        </is>
      </c>
      <c r="B30" s="2" t="n"/>
    </row>
    <row r="31">
      <c r="A31" s="2" t="n"/>
      <c r="B31" s="2" t="n"/>
    </row>
    <row r="32">
      <c r="A32" s="1" t="inlineStr">
        <is>
          <t>Fundamento normativo</t>
        </is>
      </c>
      <c r="B32" s="2" t="n"/>
    </row>
    <row r="33">
      <c r="A33" s="14" t="inlineStr">
        <is>
          <t>• Decreto 1420 de 1998 (compilado en Decreto 1170 de 2015), Arts. 3 y 25.</t>
        </is>
      </c>
      <c r="B33" s="2" t="n"/>
    </row>
    <row r="34">
      <c r="A34" s="14" t="inlineStr">
        <is>
          <t>• Resolución IGAC 620 de 2008, Arts. 1–4 (métodos), 10 y 18 (PH / área privada), 11 (estadística).</t>
        </is>
      </c>
      <c r="B34" s="2" t="n"/>
    </row>
    <row r="35">
      <c r="A35" s="14" t="inlineStr">
        <is>
          <t>• Ley 1673 de 2013 y Decreto 556 de 2014 (profesión del avaluador; Registro Abierto de Avaluadores).</t>
        </is>
      </c>
      <c r="B35" s="2" t="n"/>
    </row>
    <row r="36">
      <c r="A36" s="14" t="inlineStr">
        <is>
          <t>• Procedimiento IGAC PC-VAL-03 (Resolución 1040 de 2023).</t>
        </is>
      </c>
      <c r="B36" s="2" t="n"/>
    </row>
    <row r="37">
      <c r="A37" s="2" t="n"/>
      <c r="B37" s="2" t="n"/>
    </row>
    <row r="38">
      <c r="A38" s="15" t="inlineStr">
        <is>
          <t>Este documento es un Análisis Comparativo de Mercado (ACM) de carácter REFERENCIAL, elaborado siguiendo la metodología de la Resolución IGAC 620 de 2008. No constituye un avalúo comercial con validez legal: conforme a la Ley 1673 de 2013, un avalúo formal debe ser elaborado y suscrito por un avaluador inscrito en el Registro Abierto de Avaluadores (RAA) en la categoría de inmuebles urbanos, o por una persona registrada ante la respectiva Lonja de Propiedad Raíz (Decreto 1420 de 1998, Art. 3).</t>
        </is>
      </c>
      <c r="B38" s="2" t="n"/>
    </row>
    <row r="39">
      <c r="A39" s="2" t="n"/>
      <c r="B39" s="2" t="n"/>
    </row>
    <row r="40">
      <c r="A40" s="2" t="n"/>
      <c r="B40" s="2" t="n"/>
    </row>
    <row r="41">
      <c r="A41" s="2" t="n"/>
      <c r="B41" s="2" t="n"/>
    </row>
    <row r="42">
      <c r="A42" s="2" t="n"/>
      <c r="B42" s="2" t="n"/>
    </row>
    <row r="43">
      <c r="A43" s="1" t="inlineStr">
        <is>
          <t>Observaciones</t>
        </is>
      </c>
      <c r="B43" s="2" t="n"/>
    </row>
    <row r="44">
      <c r="A44" s="2" t="inlineStr">
        <is>
          <t>• 2 comparable(s) sin antigüedad publicada: se supuso una antigüedad típica de mercado (~20 años) para depreciar el inmueble del sujeto (32 años) frente a ellos (Fitto-Corvini).</t>
        </is>
      </c>
      <c r="B44" s="2" t="n"/>
    </row>
    <row r="45">
      <c r="A45" s="2" t="inlineStr">
        <is>
          <t>• CV de venta = 20.23% &gt; 7,5% (Res. 620/2008, Art. 11): la muestra no es homogénea; se adopta la MEDIA ponderada del conjunto depurado como valor más probable (referencial) y se recomienda reforzar el número de comparables.</t>
        </is>
      </c>
      <c r="B45" s="2" t="n"/>
    </row>
    <row r="46">
      <c r="A46" s="2" t="inlineStr">
        <is>
          <t>• CV de arriendo = 14.8% &gt; 7,5% (Res. 620/2008, Art. 11): la muestra no es homogénea; se adopta la MEDIA ponderada del conjunto depurado como valor más probable (referencial) y se recomienda reforzar el número de comparables.</t>
        </is>
      </c>
      <c r="B46" s="2" t="n"/>
    </row>
    <row r="47">
      <c r="A47" s="2" t="inlineStr">
        <is>
          <t>• Depreciación Fitto-Corvini para estado Usado (acabados originales): coeficientes parciales del spec; completar con la Resolución 620/2008 antes de uso oficial.</t>
        </is>
      </c>
      <c r="B47" s="2" t="n"/>
    </row>
  </sheetData>
  <mergeCells count="1">
    <mergeCell ref="A38:B4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2026-06-09T21:33:16Z</dcterms:created>
  <dcterms:modified xmlns:dcterms="http://purl.org/dc/terms/" xmlns:xsi="http://www.w3.org/2001/XMLSchema-instance" xsi:type="dcterms:W3CDTF">2026-06-09T21:33:16Z</dcterms:modified>
</cp:coreProperties>
</file>