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040-79684</t>
        </is>
      </c>
    </row>
    <row r="4">
      <c r="A4" s="3" t="inlineStr">
        <is>
          <t>Dirección</t>
        </is>
      </c>
      <c r="B4" s="2" t="inlineStr">
        <is>
          <t>KR 50 # 82 ED SALEM APTO 62 A</t>
        </is>
      </c>
    </row>
    <row r="5">
      <c r="A5" s="3" t="inlineStr">
        <is>
          <t>Ciudad</t>
        </is>
      </c>
      <c r="B5" s="2" t="inlineStr">
        <is>
          <t>BARRANQUILLA</t>
        </is>
      </c>
    </row>
    <row r="6">
      <c r="A6" s="3" t="inlineStr">
        <is>
          <t>Barrio</t>
        </is>
      </c>
      <c r="B6" s="2" t="inlineStr">
        <is>
          <t>Alto Prado</t>
        </is>
      </c>
    </row>
    <row r="7">
      <c r="A7" s="3" t="inlineStr">
        <is>
          <t>Tipo de inmueble</t>
        </is>
      </c>
      <c r="B7" s="2" t="inlineStr">
        <is>
          <t>APARTAMENTO</t>
        </is>
      </c>
    </row>
    <row r="8">
      <c r="A8" s="3" t="inlineStr">
        <is>
          <t>Área privada (m²)</t>
        </is>
      </c>
      <c r="B8" s="2" t="n">
        <v>132</v>
      </c>
    </row>
    <row r="9">
      <c r="A9" s="3" t="inlineStr">
        <is>
          <t>Área construida (m²)</t>
        </is>
      </c>
      <c r="B9" s="2" t="n"/>
    </row>
    <row r="10">
      <c r="A10" s="3" t="inlineStr">
        <is>
          <t>Piso</t>
        </is>
      </c>
      <c r="B10" s="2" t="n">
        <v>6</v>
      </c>
    </row>
    <row r="11">
      <c r="A11" s="3" t="inlineStr">
        <is>
          <t>Pisos del edificio</t>
        </is>
      </c>
      <c r="B11" s="2" t="n">
        <v>18</v>
      </c>
    </row>
    <row r="12">
      <c r="A12" s="3" t="inlineStr">
        <is>
          <t>Habitaciones</t>
        </is>
      </c>
      <c r="B12" s="2" t="n">
        <v>3</v>
      </c>
    </row>
    <row r="13">
      <c r="A13" s="3" t="inlineStr">
        <is>
          <t>Baños</t>
        </is>
      </c>
      <c r="B13" s="2" t="n">
        <v>2</v>
      </c>
    </row>
    <row r="14">
      <c r="A14" s="3" t="inlineStr">
        <is>
          <t>Estrato</t>
        </is>
      </c>
      <c r="B14" s="2" t="n">
        <v>5</v>
      </c>
    </row>
    <row r="15">
      <c r="A15" s="3" t="inlineStr">
        <is>
          <t>Antigüedad (años)</t>
        </is>
      </c>
      <c r="B15" s="2" t="n">
        <v>47</v>
      </c>
    </row>
    <row r="16">
      <c r="A16" s="3" t="inlineStr">
        <is>
          <t>Vida útil (años)</t>
        </is>
      </c>
      <c r="B16" s="2" t="n">
        <v>100</v>
      </c>
    </row>
    <row r="17">
      <c r="A17" s="3" t="inlineStr">
        <is>
          <t>Estado de conservación</t>
        </is>
      </c>
      <c r="B17" s="2" t="inlineStr">
        <is>
          <t>Bueno</t>
        </is>
      </c>
    </row>
    <row r="18">
      <c r="A18" s="3" t="inlineStr">
        <is>
          <t>Propietario actual</t>
        </is>
      </c>
      <c r="B18" s="2" t="inlineStr">
        <is>
          <t>CIENFUEGOS SANTIAGO ANGEL ALEJANDRO</t>
        </is>
      </c>
    </row>
    <row r="19">
      <c r="A19" s="3" t="inlineStr">
        <is>
          <t>Código catastral</t>
        </is>
      </c>
      <c r="B19" s="2" t="inlineStr">
        <is>
          <t>080010103000001350902900000114</t>
        </is>
      </c>
    </row>
    <row r="20">
      <c r="A20" s="3" t="inlineStr">
        <is>
          <t>NUPRE</t>
        </is>
      </c>
      <c r="B20" s="2" t="inlineStr">
        <is>
          <t>AFT0023MJRB</t>
        </is>
      </c>
    </row>
    <row r="21">
      <c r="A21" s="3" t="inlineStr">
        <is>
          <t>Estado del folio</t>
        </is>
      </c>
      <c r="B21" s="2" t="inlineStr">
        <is>
          <t>ACTIVO</t>
        </is>
      </c>
    </row>
    <row r="22">
      <c r="A22" s="3" t="inlineStr">
        <is>
          <t>Gravámenes activos</t>
        </is>
      </c>
      <c r="B22" s="2" t="inlineStr">
        <is>
          <t>HIPOTECA (anot. 001, 23-05-1978); AFECTACION A VIVIENDA (anot. 019, 24-02-2026)</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1"/>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del prado</t>
        </is>
      </c>
      <c r="C3" s="6" t="n">
        <v>150</v>
      </c>
      <c r="D3" s="7" t="n">
        <v>550000000</v>
      </c>
      <c r="E3" s="7">
        <f>IF(C3=0,0,D3/C3)</f>
        <v/>
      </c>
      <c r="F3" s="8" t="n">
        <v>0.867021</v>
      </c>
      <c r="G3" s="7">
        <f>E3*F3</f>
        <v/>
      </c>
      <c r="H3" s="8" t="n">
        <v>1</v>
      </c>
      <c r="I3" s="5" t="n">
        <v>3</v>
      </c>
      <c r="J3" s="5" t="n">
        <v>3</v>
      </c>
      <c r="K3" s="5" t="n">
        <v>5</v>
      </c>
      <c r="L3" s="9">
        <f>HYPERLINK("https://www.fincaraiz.com.co/apartamento-en-venta-en-altos-del-prado-barranquilla/193626889","🔗 Ver")</f>
        <v/>
      </c>
      <c r="M3" s="5" t="inlineStr">
        <is>
          <t>Sí</t>
        </is>
      </c>
    </row>
    <row r="4">
      <c r="A4" s="5" t="inlineStr">
        <is>
          <t>fincaraiz</t>
        </is>
      </c>
      <c r="B4" s="5" t="inlineStr">
        <is>
          <t>La campiña</t>
        </is>
      </c>
      <c r="C4" s="6" t="n">
        <v>111</v>
      </c>
      <c r="D4" s="7" t="n">
        <v>580000000</v>
      </c>
      <c r="E4" s="7">
        <f>IF(C4=0,0,D4/C4)</f>
        <v/>
      </c>
      <c r="F4" s="8" t="n">
        <v>0.914511</v>
      </c>
      <c r="G4" s="7">
        <f>E4*F4</f>
        <v/>
      </c>
      <c r="H4" s="8" t="n">
        <v>1</v>
      </c>
      <c r="I4" s="5" t="n">
        <v>3</v>
      </c>
      <c r="J4" s="5" t="n">
        <v>3</v>
      </c>
      <c r="K4" s="5" t="n">
        <v>5</v>
      </c>
      <c r="L4" s="9">
        <f>HYPERLINK("https://www.fincaraiz.com.co/apartamento-en-venta-en-la-campiña-barranquilla/192840762","🔗 Ver")</f>
        <v/>
      </c>
      <c r="M4" s="5" t="inlineStr">
        <is>
          <t>No</t>
        </is>
      </c>
    </row>
    <row r="5">
      <c r="A5" s="5" t="inlineStr">
        <is>
          <t>fincaraiz</t>
        </is>
      </c>
      <c r="B5" s="5" t="inlineStr">
        <is>
          <t>Las delicias</t>
        </is>
      </c>
      <c r="C5" s="6" t="n">
        <v>116</v>
      </c>
      <c r="D5" s="7" t="n">
        <v>465000000</v>
      </c>
      <c r="E5" s="7">
        <f>IF(C5=0,0,D5/C5)</f>
        <v/>
      </c>
      <c r="F5" s="8" t="n">
        <v>0.835857</v>
      </c>
      <c r="G5" s="7">
        <f>E5*F5</f>
        <v/>
      </c>
      <c r="H5" s="8" t="n">
        <v>1</v>
      </c>
      <c r="I5" s="5" t="n">
        <v>3</v>
      </c>
      <c r="J5" s="5" t="n">
        <v>2</v>
      </c>
      <c r="K5" s="5" t="n">
        <v>3</v>
      </c>
      <c r="L5" s="9">
        <f>HYPERLINK("https://www.fincaraiz.com.co/apartamento-en-venta-en-las-delicias-barranquilla/192440370","🔗 Ver")</f>
        <v/>
      </c>
      <c r="M5" s="5" t="inlineStr">
        <is>
          <t>Sí</t>
        </is>
      </c>
    </row>
    <row r="6">
      <c r="A6" s="5" t="inlineStr">
        <is>
          <t>fincaraiz</t>
        </is>
      </c>
      <c r="B6" s="5" t="inlineStr">
        <is>
          <t>Riomar</t>
        </is>
      </c>
      <c r="C6" s="6" t="n">
        <v>125</v>
      </c>
      <c r="D6" s="7" t="n">
        <v>420000000</v>
      </c>
      <c r="E6" s="7">
        <f>IF(C6=0,0,D6/C6)</f>
        <v/>
      </c>
      <c r="F6" s="8" t="n">
        <v>0.686681</v>
      </c>
      <c r="G6" s="7">
        <f>E6*F6</f>
        <v/>
      </c>
      <c r="H6" s="8" t="n">
        <v>1</v>
      </c>
      <c r="I6" s="5" t="n">
        <v>3</v>
      </c>
      <c r="J6" s="5" t="n">
        <v>2</v>
      </c>
      <c r="K6" s="5" t="n">
        <v>5</v>
      </c>
      <c r="L6" s="9">
        <f>HYPERLINK("https://www.fincaraiz.com.co/apartamento-en-venta-en-riomar-barranquilla/193177381","🔗 Ver")</f>
        <v/>
      </c>
      <c r="M6" s="5" t="inlineStr">
        <is>
          <t>No</t>
        </is>
      </c>
    </row>
    <row r="7">
      <c r="A7" s="5" t="inlineStr">
        <is>
          <t>fincaraiz</t>
        </is>
      </c>
      <c r="B7" s="5" t="inlineStr">
        <is>
          <t>Villa country</t>
        </is>
      </c>
      <c r="C7" s="6" t="n">
        <v>147</v>
      </c>
      <c r="D7" s="7" t="n">
        <v>650000000</v>
      </c>
      <c r="E7" s="7">
        <f>IF(C7=0,0,D7/C7)</f>
        <v/>
      </c>
      <c r="F7" s="8" t="n">
        <v>0.768093</v>
      </c>
      <c r="G7" s="7">
        <f>E7*F7</f>
        <v/>
      </c>
      <c r="H7" s="8" t="n">
        <v>0.9</v>
      </c>
      <c r="I7" s="5" t="n">
        <v>3</v>
      </c>
      <c r="J7" s="5" t="n">
        <v>2</v>
      </c>
      <c r="K7" s="5" t="n">
        <v>6</v>
      </c>
      <c r="L7" s="9">
        <f>HYPERLINK("https://www.fincaraiz.com.co/apartamento-en-venta-en-villa-country-barranquilla/193660169","🔗 Ver")</f>
        <v/>
      </c>
      <c r="M7" s="5" t="inlineStr">
        <is>
          <t>Sí</t>
        </is>
      </c>
    </row>
    <row r="8">
      <c r="A8" s="5" t="inlineStr">
        <is>
          <t>metrocuadrado</t>
        </is>
      </c>
      <c r="B8" s="5" t="inlineStr">
        <is>
          <t>Alto Prado</t>
        </is>
      </c>
      <c r="C8" s="6" t="n">
        <v>127</v>
      </c>
      <c r="D8" s="7" t="n">
        <v>469000000</v>
      </c>
      <c r="E8" s="7">
        <f>IF(C8=0,0,D8/C8)</f>
        <v/>
      </c>
      <c r="F8" s="8" t="n">
        <v>0.981228</v>
      </c>
      <c r="G8" s="7">
        <f>E8*F8</f>
        <v/>
      </c>
      <c r="H8" s="8" t="n">
        <v>0.68</v>
      </c>
      <c r="I8" s="5" t="n">
        <v>3</v>
      </c>
      <c r="J8" s="5" t="n">
        <v>2</v>
      </c>
      <c r="K8" s="5" t="n"/>
      <c r="L8" s="9">
        <f>HYPERLINK("https://www.metrocuadrado.com/inmueble/venta-apartamento-barranquilla-altos-del-prado-3-habitaciones-2-banos-2-garajes/22304-M6634804","🔗 Ver")</f>
        <v/>
      </c>
      <c r="M8" s="5" t="inlineStr">
        <is>
          <t>Sí</t>
        </is>
      </c>
    </row>
    <row r="9">
      <c r="A9" s="5" t="inlineStr">
        <is>
          <t>metrocuadrado</t>
        </is>
      </c>
      <c r="B9" s="5" t="inlineStr">
        <is>
          <t>Alto Prado</t>
        </is>
      </c>
      <c r="C9" s="6" t="n">
        <v>115</v>
      </c>
      <c r="D9" s="7" t="n">
        <v>590000000</v>
      </c>
      <c r="E9" s="7">
        <f>IF(C9=0,0,D9/C9)</f>
        <v/>
      </c>
      <c r="F9" s="8" t="n">
        <v>1.049914</v>
      </c>
      <c r="G9" s="7">
        <f>E9*F9</f>
        <v/>
      </c>
      <c r="H9" s="8" t="n">
        <v>0.68</v>
      </c>
      <c r="I9" s="5" t="n">
        <v>2</v>
      </c>
      <c r="J9" s="5" t="n">
        <v>2</v>
      </c>
      <c r="K9" s="5" t="n"/>
      <c r="L9" s="9">
        <f>HYPERLINK("https://www.metrocuadrado.com/inmueble/venta-apartamento-barranquilla-villa-country-2-habitaciones-2-banos-2-garajes/22327-M6622320","🔗 Ver")</f>
        <v/>
      </c>
      <c r="M9" s="5" t="inlineStr">
        <is>
          <t>No</t>
        </is>
      </c>
    </row>
    <row r="10">
      <c r="A10" s="2" t="n"/>
      <c r="B10" s="2" t="n"/>
      <c r="C10" s="2" t="n"/>
      <c r="D10" s="2" t="n"/>
      <c r="E10" s="2" t="n"/>
      <c r="F10" s="2" t="n"/>
      <c r="G10" s="2" t="n"/>
      <c r="H10" s="2" t="n"/>
      <c r="I10" s="2" t="n"/>
      <c r="J10" s="2" t="n"/>
      <c r="K10" s="2" t="n"/>
      <c r="L10" s="2" t="n"/>
      <c r="M10" s="2" t="n"/>
    </row>
    <row r="11">
      <c r="A11" s="1" t="inlineStr">
        <is>
          <t>COMPARABLES DE ARRIENDO</t>
        </is>
      </c>
      <c r="B11" s="2" t="n"/>
      <c r="C11" s="2" t="n"/>
      <c r="D11" s="2" t="n"/>
      <c r="E11" s="2" t="n"/>
      <c r="F11" s="2" t="n"/>
      <c r="G11" s="2" t="n"/>
      <c r="H11" s="2" t="n"/>
      <c r="I11" s="2" t="n"/>
      <c r="J11" s="2" t="n"/>
      <c r="K11" s="2" t="n"/>
      <c r="L11" s="2" t="n"/>
      <c r="M11" s="2" t="n"/>
    </row>
    <row r="12">
      <c r="A12" s="4" t="inlineStr">
        <is>
          <t>Portal</t>
        </is>
      </c>
      <c r="B12" s="4" t="inlineStr">
        <is>
          <t>Barrio</t>
        </is>
      </c>
      <c r="C12" s="4" t="inlineStr">
        <is>
          <t>Área m²</t>
        </is>
      </c>
      <c r="D12" s="4" t="inlineStr">
        <is>
          <t>Precio (COP)</t>
        </is>
      </c>
      <c r="E12" s="4" t="inlineStr">
        <is>
          <t>Precio/m²</t>
        </is>
      </c>
      <c r="F12" s="4" t="inlineStr">
        <is>
          <t>Factor homog.</t>
        </is>
      </c>
      <c r="G12" s="4" t="inlineStr">
        <is>
          <t>Precio/m² homog.</t>
        </is>
      </c>
      <c r="H12" s="4" t="inlineStr">
        <is>
          <t>Peso fuente</t>
        </is>
      </c>
      <c r="I12" s="4" t="inlineStr">
        <is>
          <t>Hab</t>
        </is>
      </c>
      <c r="J12" s="4" t="inlineStr">
        <is>
          <t>Baños</t>
        </is>
      </c>
      <c r="K12" s="4" t="inlineStr">
        <is>
          <t>Estrato</t>
        </is>
      </c>
      <c r="L12" s="4" t="inlineStr">
        <is>
          <t>Enlace</t>
        </is>
      </c>
      <c r="M12" s="4" t="inlineStr">
        <is>
          <t>INCLUIR EN ACM</t>
        </is>
      </c>
    </row>
    <row r="13">
      <c r="A13" s="5" t="inlineStr">
        <is>
          <t>fincaraiz</t>
        </is>
      </c>
      <c r="B13" s="5" t="inlineStr">
        <is>
          <t>Altos del prado</t>
        </is>
      </c>
      <c r="C13" s="6" t="n">
        <v>142</v>
      </c>
      <c r="D13" s="7" t="n">
        <v>5500000</v>
      </c>
      <c r="E13" s="7">
        <f>IF(C13=0,0,D13/C13)</f>
        <v/>
      </c>
      <c r="F13" s="8" t="n">
        <v>1.089929</v>
      </c>
      <c r="G13" s="7">
        <f>E13*F13</f>
        <v/>
      </c>
      <c r="H13" s="8" t="n">
        <v>1</v>
      </c>
      <c r="I13" s="5" t="n">
        <v>3</v>
      </c>
      <c r="J13" s="5" t="n">
        <v>3</v>
      </c>
      <c r="K13" s="5" t="n">
        <v>5</v>
      </c>
      <c r="L13" s="9">
        <f>HYPERLINK("https://www.fincaraiz.com.co/apartamento-en-arriendo-en-altos-del-prado-barranquilla/192788647","🔗 Ver")</f>
        <v/>
      </c>
      <c r="M13" s="5" t="inlineStr">
        <is>
          <t>No</t>
        </is>
      </c>
    </row>
    <row r="14">
      <c r="A14" s="5" t="inlineStr">
        <is>
          <t>fincaraiz</t>
        </is>
      </c>
      <c r="B14" s="5" t="inlineStr">
        <is>
          <t>Villa Campestre</t>
        </is>
      </c>
      <c r="C14" s="6" t="n">
        <v>110</v>
      </c>
      <c r="D14" s="7" t="n">
        <v>3300000</v>
      </c>
      <c r="E14" s="7">
        <f>IF(C14=0,0,D14/C14)</f>
        <v/>
      </c>
      <c r="F14" s="8" t="n">
        <v>1.131059</v>
      </c>
      <c r="G14" s="7">
        <f>E14*F14</f>
        <v/>
      </c>
      <c r="H14" s="8" t="n">
        <v>1</v>
      </c>
      <c r="I14" s="5" t="n">
        <v>3</v>
      </c>
      <c r="J14" s="5" t="n">
        <v>2</v>
      </c>
      <c r="K14" s="5" t="n">
        <v>4</v>
      </c>
      <c r="L14" s="9">
        <f>HYPERLINK("https://www.fincaraiz.com.co/apartamento-en-arriendo-en-villa-campestre-barranquilla/193786630","🔗 Ver")</f>
        <v/>
      </c>
      <c r="M14" s="5" t="inlineStr">
        <is>
          <t>Sí</t>
        </is>
      </c>
    </row>
    <row r="15">
      <c r="A15" s="5" t="inlineStr">
        <is>
          <t>fincaraiz</t>
        </is>
      </c>
      <c r="B15" s="5" t="inlineStr">
        <is>
          <t>Riomar</t>
        </is>
      </c>
      <c r="C15" s="6" t="n">
        <v>117</v>
      </c>
      <c r="D15" s="7" t="n">
        <v>3900000</v>
      </c>
      <c r="E15" s="7">
        <f>IF(C15=0,0,D15/C15)</f>
        <v/>
      </c>
      <c r="F15" s="8" t="n">
        <v>0.755915</v>
      </c>
      <c r="G15" s="7">
        <f>E15*F15</f>
        <v/>
      </c>
      <c r="H15" s="8" t="n">
        <v>1</v>
      </c>
      <c r="I15" s="5" t="n">
        <v>3</v>
      </c>
      <c r="J15" s="5" t="n">
        <v>2</v>
      </c>
      <c r="K15" s="5" t="n">
        <v>5</v>
      </c>
      <c r="L15" s="9">
        <f>HYPERLINK("https://www.fincaraiz.com.co/apartamento-en-arriendo-en-riomar-barranquilla/193457240","🔗 Ver")</f>
        <v/>
      </c>
      <c r="M15" s="5" t="inlineStr">
        <is>
          <t>Sí</t>
        </is>
      </c>
    </row>
    <row r="16">
      <c r="A16" s="5" t="inlineStr">
        <is>
          <t>fincaraiz</t>
        </is>
      </c>
      <c r="B16" s="5" t="inlineStr">
        <is>
          <t>Miramar</t>
        </is>
      </c>
      <c r="C16" s="6" t="n">
        <v>110</v>
      </c>
      <c r="D16" s="7" t="n">
        <v>3700000</v>
      </c>
      <c r="E16" s="7">
        <f>IF(C16=0,0,D16/C16)</f>
        <v/>
      </c>
      <c r="F16" s="8" t="n">
        <v>0.840471</v>
      </c>
      <c r="G16" s="7">
        <f>E16*F16</f>
        <v/>
      </c>
      <c r="H16" s="8" t="n">
        <v>1</v>
      </c>
      <c r="I16" s="5" t="n">
        <v>3</v>
      </c>
      <c r="J16" s="5" t="n">
        <v>3</v>
      </c>
      <c r="K16" s="5" t="n">
        <v>4</v>
      </c>
      <c r="L16" s="9">
        <f>HYPERLINK("https://www.fincaraiz.com.co/apartamento-en-arriendo-en-miramar-barranquilla/193699999","🔗 Ver")</f>
        <v/>
      </c>
      <c r="M16" s="5" t="inlineStr">
        <is>
          <t>Sí</t>
        </is>
      </c>
    </row>
    <row r="17">
      <c r="A17" s="5" t="inlineStr">
        <is>
          <t>fincaraiz</t>
        </is>
      </c>
      <c r="B17" s="5" t="inlineStr">
        <is>
          <t>Riomar</t>
        </is>
      </c>
      <c r="C17" s="6" t="n">
        <v>112</v>
      </c>
      <c r="D17" s="7" t="n">
        <v>4600000</v>
      </c>
      <c r="E17" s="7">
        <f>IF(C17=0,0,D17/C17)</f>
        <v/>
      </c>
      <c r="F17" s="8" t="n">
        <v>0.7070149999999999</v>
      </c>
      <c r="G17" s="7">
        <f>E17*F17</f>
        <v/>
      </c>
      <c r="H17" s="8" t="n">
        <v>1</v>
      </c>
      <c r="I17" s="5" t="n">
        <v>3</v>
      </c>
      <c r="J17" s="5" t="n">
        <v>3</v>
      </c>
      <c r="K17" s="5" t="n">
        <v>5</v>
      </c>
      <c r="L17" s="9">
        <f>HYPERLINK("https://www.fincaraiz.com.co/apartamento-en-arriendo-en-riomar-barranquilla/193782335","🔗 Ver")</f>
        <v/>
      </c>
      <c r="M17" s="5" t="inlineStr">
        <is>
          <t>Sí</t>
        </is>
      </c>
    </row>
    <row r="18">
      <c r="A18" s="5" t="inlineStr">
        <is>
          <t>metrocuadrado</t>
        </is>
      </c>
      <c r="B18" s="5" t="inlineStr">
        <is>
          <t>Alto Prado</t>
        </is>
      </c>
      <c r="C18" s="6" t="n">
        <v>115</v>
      </c>
      <c r="D18" s="7" t="n">
        <v>3900000</v>
      </c>
      <c r="E18" s="7">
        <f>IF(C18=0,0,D18/C18)</f>
        <v/>
      </c>
      <c r="F18" s="8" t="n">
        <v>1.158118</v>
      </c>
      <c r="G18" s="7">
        <f>E18*F18</f>
        <v/>
      </c>
      <c r="H18" s="8" t="n">
        <v>0.68</v>
      </c>
      <c r="I18" s="5" t="n">
        <v>2</v>
      </c>
      <c r="J18" s="5" t="n">
        <v>2</v>
      </c>
      <c r="K18" s="5" t="n"/>
      <c r="L18" s="9">
        <f>HYPERLINK("https://www.metrocuadrado.com/inmueble/arriendo-apartamento-barranquilla-villa-country-2-habitaciones-2-banos-2-garajes/22327-M6622389","🔗 Ver")</f>
        <v/>
      </c>
      <c r="M18" s="5" t="inlineStr">
        <is>
          <t>No</t>
        </is>
      </c>
    </row>
    <row r="19">
      <c r="A19" s="5" t="inlineStr">
        <is>
          <t>metrocuadrado</t>
        </is>
      </c>
      <c r="B19" s="5" t="inlineStr">
        <is>
          <t>Alto Prado</t>
        </is>
      </c>
      <c r="C19" s="6" t="n">
        <v>120</v>
      </c>
      <c r="D19" s="7" t="n">
        <v>4865622</v>
      </c>
      <c r="E19" s="7">
        <f>IF(C19=0,0,D19/C19)</f>
        <v/>
      </c>
      <c r="F19" s="8" t="n">
        <v>1.028235</v>
      </c>
      <c r="G19" s="7">
        <f>E19*F19</f>
        <v/>
      </c>
      <c r="H19" s="8" t="n">
        <v>0.68</v>
      </c>
      <c r="I19" s="5" t="n">
        <v>3</v>
      </c>
      <c r="J19" s="5" t="n">
        <v>3</v>
      </c>
      <c r="K19" s="5" t="n"/>
      <c r="L19" s="9">
        <f>HYPERLINK("https://www.metrocuadrado.com/inmueble/arriendo-apartamento-barranquilla-riomar-3-habitaciones-3-banos-1-garajes/22282-M6711369","🔗 Ver")</f>
        <v/>
      </c>
      <c r="M19" s="5" t="inlineStr">
        <is>
          <t>No</t>
        </is>
      </c>
    </row>
    <row r="20">
      <c r="A20" s="5" t="inlineStr">
        <is>
          <t>properati</t>
        </is>
      </c>
      <c r="B20" s="5" t="inlineStr">
        <is>
          <t>Ríomar</t>
        </is>
      </c>
      <c r="C20" s="6" t="n">
        <v>137</v>
      </c>
      <c r="D20" s="7" t="n">
        <v>3500000</v>
      </c>
      <c r="E20" s="7">
        <f>IF(C20=0,0,D20/C20)</f>
        <v/>
      </c>
      <c r="F20" s="8" t="n">
        <v>0.740329</v>
      </c>
      <c r="G20" s="7">
        <f>E20*F20</f>
        <v/>
      </c>
      <c r="H20" s="8" t="n">
        <v>0.68</v>
      </c>
      <c r="I20" s="5" t="n">
        <v>3</v>
      </c>
      <c r="J20" s="5" t="n">
        <v>3</v>
      </c>
      <c r="K20" s="5" t="n"/>
      <c r="L20" s="9">
        <f>HYPERLINK("https://www.properati.com.co/detalle/14032-32-b974-80f278478b70-19ce5a8-bb3a-7703","🔗 Ver")</f>
        <v/>
      </c>
      <c r="M20" s="5" t="inlineStr">
        <is>
          <t>No</t>
        </is>
      </c>
    </row>
    <row r="21">
      <c r="A21" s="5" t="inlineStr">
        <is>
          <t>ciencuadras</t>
        </is>
      </c>
      <c r="B21" s="5" t="inlineStr">
        <is>
          <t>CR.MONTREAL</t>
        </is>
      </c>
      <c r="C21" s="6" t="n">
        <v>120</v>
      </c>
      <c r="D21" s="7" t="n">
        <v>3500000</v>
      </c>
      <c r="E21" s="7">
        <f>IF(C21=0,0,D21/C21)</f>
        <v/>
      </c>
      <c r="F21" s="8" t="n">
        <v>1.139319</v>
      </c>
      <c r="G21" s="7">
        <f>E21*F21</f>
        <v/>
      </c>
      <c r="H21" s="8" t="n">
        <v>0.5600000000000001</v>
      </c>
      <c r="I21" s="5" t="n">
        <v>3</v>
      </c>
      <c r="J21" s="5" t="n">
        <v>2</v>
      </c>
      <c r="K21" s="5" t="n"/>
      <c r="L21" s="9">
        <f>HYPERLINK("https://www.ciencuadras.com/inmueble/apartamento-en-arriendo-en-cr-montreal-barranquilla-3748628","🔗 Ver")</f>
        <v/>
      </c>
      <c r="M21" s="5" t="inlineStr">
        <is>
          <t>Sí</t>
        </is>
      </c>
    </row>
  </sheetData>
  <conditionalFormatting sqref="G3:G9">
    <cfRule type="expression" priority="1" dxfId="0">
      <formula>ABS(G3-AVERAGE($G$3:$G$9))&gt;2*STDEV($G$3:$G$9)</formula>
    </cfRule>
  </conditionalFormatting>
  <conditionalFormatting sqref="G13:G21">
    <cfRule type="expression" priority="2" dxfId="0">
      <formula>ABS(G13-AVERAGE($G$13:$G$21))&gt;2*STDEV($G$13:$G$21)</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COUNTIF(COMPARABLES!M3:M9,"Sí")</f>
        <v/>
      </c>
    </row>
    <row r="3">
      <c r="A3" s="3" t="inlineStr">
        <is>
          <t>Promedio ponderado /m² (vivo)</t>
        </is>
      </c>
      <c r="B3" s="10">
        <f>IFERROR(SUMPRODUCT((COMPARABLES!M3:M9="Sí")*COMPARABLES!H3:H9*COMPARABLES!G3:G9)/SUMPRODUCT((COMPARABLES!M3:M9="Sí")*COMPARABLES!H3:H9),0)</f>
        <v/>
      </c>
    </row>
    <row r="4">
      <c r="A4" s="3" t="inlineStr">
        <is>
          <t>Promedio sin ponderar /m² (verif.)</t>
        </is>
      </c>
      <c r="B4" s="10">
        <f>IFERROR(AVERAGEIF(COMPARABLES!M3:M9,"Sí",COMPARABLES!G3:G9),0)</f>
        <v/>
      </c>
    </row>
    <row r="5">
      <c r="A5" s="3" t="inlineStr">
        <is>
          <t>CV ponderado (%) — cálculo ACM</t>
        </is>
      </c>
      <c r="B5" s="11" t="n">
        <v>5.18</v>
      </c>
    </row>
    <row r="6">
      <c r="A6" s="3" t="inlineStr">
        <is>
          <t>Precio/m² adoptado</t>
        </is>
      </c>
      <c r="B6" s="10">
        <f>B3</f>
        <v/>
      </c>
    </row>
    <row r="7">
      <c r="A7" s="3" t="inlineStr">
        <is>
          <t>Área del sujeto (m²)</t>
        </is>
      </c>
      <c r="B7" s="11" t="n">
        <v>132</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COUNTIF(COMPARABLES!M13:M21,"Sí")</f>
        <v/>
      </c>
    </row>
    <row r="12">
      <c r="A12" s="3" t="inlineStr">
        <is>
          <t>Promedio ponderado /m² (vivo)</t>
        </is>
      </c>
      <c r="B12" s="10">
        <f>IFERROR(SUMPRODUCT((COMPARABLES!M13:M21="Sí")*COMPARABLES!H13:H21*COMPARABLES!G13:G21)/SUMPRODUCT((COMPARABLES!M13:M21="Sí")*COMPARABLES!H13:H21),0)</f>
        <v/>
      </c>
    </row>
    <row r="13">
      <c r="A13" s="3" t="inlineStr">
        <is>
          <t>Promedio sin ponderar /m² (verif.)</t>
        </is>
      </c>
      <c r="B13" s="10">
        <f>IFERROR(AVERAGEIF(COMPARABLES!M13:M21,"Sí",COMPARABLES!G13:G21),0)</f>
        <v/>
      </c>
    </row>
    <row r="14">
      <c r="A14" s="3" t="inlineStr">
        <is>
          <t>CV ponderado (%) — cálculo ACM</t>
        </is>
      </c>
      <c r="B14" s="11" t="n">
        <v>12.26</v>
      </c>
    </row>
    <row r="15">
      <c r="A15" s="3" t="inlineStr">
        <is>
          <t>Precio/m² adoptado</t>
        </is>
      </c>
      <c r="B15" s="10">
        <f>B12</f>
        <v/>
      </c>
    </row>
    <row r="16">
      <c r="A16" s="3" t="inlineStr">
        <is>
          <t>Área del sujeto (m²)</t>
        </is>
      </c>
      <c r="B16" s="11" t="n">
        <v>132</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47</v>
      </c>
    </row>
    <row r="4">
      <c r="A4" s="3" t="inlineStr">
        <is>
          <t>Vida útil (años)</t>
        </is>
      </c>
      <c r="B4" s="2" t="n">
        <v>100</v>
      </c>
    </row>
    <row r="5">
      <c r="A5" s="3" t="inlineStr">
        <is>
          <t>Precio/m² a nuevo (depreciado)</t>
        </is>
      </c>
      <c r="B5" s="10" t="n">
        <v>2113640.9</v>
      </c>
    </row>
    <row r="6">
      <c r="A6" s="3" t="inlineStr">
        <is>
          <t>Área (m²)</t>
        </is>
      </c>
      <c r="B6" s="11" t="n">
        <v>132</v>
      </c>
    </row>
    <row r="7">
      <c r="A7" s="3" t="inlineStr">
        <is>
          <t>Valor por costo de reposición</t>
        </is>
      </c>
      <c r="B7" s="10" t="n">
        <v>279000598.8</v>
      </c>
    </row>
    <row r="8">
      <c r="A8" s="3" t="inlineStr">
        <is>
          <t>% terreno</t>
        </is>
      </c>
      <c r="B8" s="11" t="n">
        <v>37.21</v>
      </c>
    </row>
    <row r="9">
      <c r="A9" s="3" t="inlineStr">
        <is>
          <t>% construcción</t>
        </is>
      </c>
      <c r="B9" s="11" t="n">
        <v>62.79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CUATROCIENTOS CUARENTA Y CUATRO MILLONES TRESCIENTOS DIECIOCHO MIL TRESCIENTOS VEINTINUEVE PESOS MONEDA CORRIENTE</t>
        </is>
      </c>
    </row>
    <row r="5">
      <c r="A5" s="3" t="inlineStr">
        <is>
          <t>CANON MENSUAL DE ARRIENDO (vivo)</t>
        </is>
      </c>
      <c r="B5" s="10">
        <f>'ACM ANÁLISIS'!B17</f>
        <v/>
      </c>
    </row>
    <row r="6">
      <c r="A6" s="3" t="inlineStr">
        <is>
          <t>Canon en letras (cálculo inicial)</t>
        </is>
      </c>
      <c r="B6" s="2" t="inlineStr">
        <is>
          <t>TRES MILLONES NOVECIENTOS NUEVE MIL DOSCIENTOS TREINTA Y CUATRO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586385118</v>
      </c>
    </row>
    <row r="10">
      <c r="A10" s="3" t="inlineStr">
        <is>
          <t>Costo de reposición (Art. 3)</t>
        </is>
      </c>
      <c r="B10" s="10" t="n">
        <v>279000598.8</v>
      </c>
    </row>
    <row r="11">
      <c r="A11" s="3" t="inlineStr">
        <is>
          <t>Asimetría venta / CV homogéneo</t>
        </is>
      </c>
      <c r="B11" s="2" t="inlineStr">
        <is>
          <t>0.256 / sí</t>
        </is>
      </c>
    </row>
    <row r="12">
      <c r="A12" s="3" t="inlineStr">
        <is>
          <t>Período de mercadeo</t>
        </is>
      </c>
      <c r="B12" s="2" t="inlineStr">
        <is>
          <t>3 a 6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datos de mercado (barrio n=6, pool=19)</t>
        </is>
      </c>
    </row>
    <row r="16">
      <c r="A16" s="3" t="inlineStr">
        <is>
          <t>Mezcla de fuentes (venta)</t>
        </is>
      </c>
      <c r="B16" s="2" t="inlineStr">
        <is>
          <t>fincaraiz: 3, metrocuadrado: 1</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7 comparable(s) sin antigüedad publicada: se supuso una antigüedad típica de mercado (~20 años) para depreciar el inmueble del sujeto (47 años) frente a ellos (Fitto-Corvini).</t>
        </is>
      </c>
      <c r="B34" s="2" t="n"/>
    </row>
    <row r="35">
      <c r="A35" s="2" t="inlineStr">
        <is>
          <t>• Comparables de venta: 3 excluido(s) por precio fuera de la norma del sector (sobreprecio o subprecio atípico respecto a la mediana homogenizada).</t>
        </is>
      </c>
      <c r="B35" s="2" t="n"/>
    </row>
    <row r="36">
      <c r="A36" s="2" t="inlineStr">
        <is>
          <t>• Comparables de arriendo: 4 excluido(s) por precio fuera de la norma del sector (sobreprecio o subprecio atípico respecto a la mediana homogenizada).</t>
        </is>
      </c>
      <c r="B36" s="2" t="n"/>
    </row>
    <row r="37">
      <c r="A37" s="2" t="inlineStr">
        <is>
          <t>• CV de arriendo = 12.26% &gt; 7,5% (Res. 620/2008, Art. 11): la muestra no es homogénea; se adopta la MEDIA ponderada del conjunto depurado como valor más probable (referencial) y se recomienda reforzar el número de comparables.</t>
        </is>
      </c>
      <c r="B37" s="2" t="n"/>
    </row>
    <row r="38">
      <c r="A38" s="2" t="inlineStr">
        <is>
          <t>• Depreciación Fitto-Corvini para estado 2: coeficientes parciales del spec; completar con la Resolución 620/2008 antes de uso oficial.</t>
        </is>
      </c>
      <c r="B38"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2026-06-01T04:27:05Z</dcterms:created>
  <dcterms:modified xmlns:dcterms="http://purl.org/dc/terms/" xmlns:xsi="http://www.w3.org/2001/XMLSchema-instance" xsi:type="dcterms:W3CDTF">2026-06-01T04:27:05Z</dcterms:modified>
</cp:coreProperties>
</file>