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040-518711</t>
        </is>
      </c>
    </row>
    <row r="4">
      <c r="A4" s="3" t="inlineStr">
        <is>
          <t>Dirección</t>
        </is>
      </c>
      <c r="B4" s="2" t="inlineStr"/>
    </row>
    <row r="5">
      <c r="A5" s="3" t="inlineStr">
        <is>
          <t>Ciudad</t>
        </is>
      </c>
      <c r="B5" s="2" t="inlineStr">
        <is>
          <t>BARRANQUILLA</t>
        </is>
      </c>
    </row>
    <row r="6">
      <c r="A6" s="3" t="inlineStr">
        <is>
          <t>Barrio</t>
        </is>
      </c>
      <c r="B6" s="2" t="inlineStr">
        <is>
          <t>Altos De Riomar</t>
        </is>
      </c>
    </row>
    <row r="7">
      <c r="A7" s="3" t="inlineStr">
        <is>
          <t>Tipo de inmueble</t>
        </is>
      </c>
      <c r="B7" s="2" t="inlineStr">
        <is>
          <t>APARTAMENTO</t>
        </is>
      </c>
    </row>
    <row r="8">
      <c r="A8" s="3" t="inlineStr">
        <is>
          <t>Área privada (m²)</t>
        </is>
      </c>
      <c r="B8" s="2" t="n">
        <v>80.13</v>
      </c>
    </row>
    <row r="9">
      <c r="A9" s="3" t="inlineStr">
        <is>
          <t>Área construida (m²)</t>
        </is>
      </c>
      <c r="B9" s="2" t="n"/>
    </row>
    <row r="10">
      <c r="A10" s="3" t="inlineStr">
        <is>
          <t>Piso</t>
        </is>
      </c>
      <c r="B10" s="2" t="n"/>
    </row>
    <row r="11">
      <c r="A11" s="3" t="inlineStr">
        <is>
          <t>Pisos del edificio</t>
        </is>
      </c>
      <c r="B11" s="2" t="n"/>
    </row>
    <row r="12">
      <c r="A12" s="3" t="inlineStr">
        <is>
          <t>Habitaciones</t>
        </is>
      </c>
      <c r="B12" s="2" t="n"/>
    </row>
    <row r="13">
      <c r="A13" s="3" t="inlineStr">
        <is>
          <t>Baños</t>
        </is>
      </c>
      <c r="B13" s="2" t="n"/>
    </row>
    <row r="14">
      <c r="A14" s="3" t="inlineStr">
        <is>
          <t>Estrato</t>
        </is>
      </c>
      <c r="B14" s="2" t="n">
        <v>5</v>
      </c>
    </row>
    <row r="15">
      <c r="A15" s="3" t="inlineStr">
        <is>
          <t>Antigüedad (años)</t>
        </is>
      </c>
      <c r="B15" s="2" t="n">
        <v>12</v>
      </c>
    </row>
    <row r="16">
      <c r="A16" s="3" t="inlineStr">
        <is>
          <t>Vida útil (años)</t>
        </is>
      </c>
      <c r="B16" s="2" t="n">
        <v>100</v>
      </c>
    </row>
    <row r="17">
      <c r="A17" s="3" t="inlineStr">
        <is>
          <t>Estado de conservación</t>
        </is>
      </c>
      <c r="B17" s="2" t="inlineStr">
        <is>
          <t>Bien mantenido</t>
        </is>
      </c>
    </row>
    <row r="18">
      <c r="A18" s="3" t="inlineStr">
        <is>
          <t>Propietario actual</t>
        </is>
      </c>
      <c r="B18" s="2" t="inlineStr">
        <is>
          <t>SAAVEDRA FLOREZ DILIA ESTHER 32678759</t>
        </is>
      </c>
    </row>
    <row r="19">
      <c r="A19" s="3" t="inlineStr">
        <is>
          <t>Código catastral</t>
        </is>
      </c>
      <c r="B19" s="2" t="inlineStr">
        <is>
          <t>080010103000004750904900000180</t>
        </is>
      </c>
    </row>
    <row r="20">
      <c r="A20" s="3" t="inlineStr">
        <is>
          <t>NUPRE</t>
        </is>
      </c>
      <c r="B20" s="2" t="inlineStr">
        <is>
          <t>AFT0010HHBA</t>
        </is>
      </c>
    </row>
    <row r="21">
      <c r="A21" s="3" t="inlineStr">
        <is>
          <t>Estado del folio</t>
        </is>
      </c>
      <c r="B21" s="2" t="inlineStr">
        <is>
          <t>ACTIVO</t>
        </is>
      </c>
    </row>
    <row r="22">
      <c r="A22" s="3" t="inlineStr">
        <is>
          <t>Gravámenes activos</t>
        </is>
      </c>
      <c r="B22" s="2" t="inlineStr">
        <is>
          <t>HIPOTECA (anot. 007, 16-03-2016)</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24"/>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Altos de riomar</t>
        </is>
      </c>
      <c r="C3" s="6" t="n">
        <v>94</v>
      </c>
      <c r="D3" s="7" t="n">
        <v>430000000</v>
      </c>
      <c r="E3" s="7">
        <f>IF(C3=0,0,D3/C3)</f>
        <v/>
      </c>
      <c r="F3" s="8" t="n">
        <v>0.967578</v>
      </c>
      <c r="G3" s="7">
        <f>E3*F3</f>
        <v/>
      </c>
      <c r="H3" s="8" t="n">
        <v>1</v>
      </c>
      <c r="I3" s="5" t="n">
        <v>3</v>
      </c>
      <c r="J3" s="5" t="n">
        <v>2</v>
      </c>
      <c r="K3" s="5" t="n">
        <v>5</v>
      </c>
      <c r="L3" s="9">
        <f>HYPERLINK("https://www.fincaraiz.com.co/apartamento-en-venta-en-altos-de-riomar-barranquilla/192339447","🔗 Ver")</f>
        <v/>
      </c>
      <c r="M3" s="5" t="inlineStr">
        <is>
          <t>Sí</t>
        </is>
      </c>
    </row>
    <row r="4">
      <c r="A4" s="5" t="inlineStr">
        <is>
          <t>fincaraiz</t>
        </is>
      </c>
      <c r="B4" s="5" t="inlineStr">
        <is>
          <t>Altos de riomar</t>
        </is>
      </c>
      <c r="C4" s="6" t="n">
        <v>93</v>
      </c>
      <c r="D4" s="7" t="n">
        <v>500000000</v>
      </c>
      <c r="E4" s="7">
        <f>IF(C4=0,0,D4/C4)</f>
        <v/>
      </c>
      <c r="F4" s="8" t="n">
        <v>0.963421</v>
      </c>
      <c r="G4" s="7">
        <f>E4*F4</f>
        <v/>
      </c>
      <c r="H4" s="8" t="n">
        <v>1</v>
      </c>
      <c r="I4" s="5" t="n">
        <v>2</v>
      </c>
      <c r="J4" s="5" t="n">
        <v>3</v>
      </c>
      <c r="K4" s="5" t="n">
        <v>6</v>
      </c>
      <c r="L4" s="9">
        <f>HYPERLINK("https://www.fincaraiz.com.co/apartamento-en-venta-en-altos-de-riomar-barranquilla/193068777","🔗 Ver")</f>
        <v/>
      </c>
      <c r="M4" s="5" t="inlineStr">
        <is>
          <t>Sí</t>
        </is>
      </c>
    </row>
    <row r="5">
      <c r="A5" s="5" t="inlineStr">
        <is>
          <t>fincaraiz</t>
        </is>
      </c>
      <c r="B5" s="5" t="inlineStr">
        <is>
          <t>Riomar</t>
        </is>
      </c>
      <c r="C5" s="6" t="n">
        <v>103</v>
      </c>
      <c r="D5" s="7" t="n">
        <v>600000000</v>
      </c>
      <c r="E5" s="7">
        <f>IF(C5=0,0,D5/C5)</f>
        <v/>
      </c>
      <c r="F5" s="8" t="n">
        <v>1.037636</v>
      </c>
      <c r="G5" s="7">
        <f>E5*F5</f>
        <v/>
      </c>
      <c r="H5" s="8" t="n">
        <v>1</v>
      </c>
      <c r="I5" s="5" t="n">
        <v>3</v>
      </c>
      <c r="J5" s="5" t="n">
        <v>2</v>
      </c>
      <c r="K5" s="5" t="n">
        <v>5</v>
      </c>
      <c r="L5" s="9">
        <f>HYPERLINK("https://www.fincaraiz.com.co/apartamento-en-venta-en-riomar-barranquilla/191168224","🔗 Ver")</f>
        <v/>
      </c>
      <c r="M5" s="5" t="inlineStr">
        <is>
          <t>Sí</t>
        </is>
      </c>
    </row>
    <row r="6">
      <c r="A6" s="5" t="inlineStr">
        <is>
          <t>fincaraiz</t>
        </is>
      </c>
      <c r="B6" s="5" t="inlineStr">
        <is>
          <t>Altos de riomar</t>
        </is>
      </c>
      <c r="C6" s="6" t="n">
        <v>88</v>
      </c>
      <c r="D6" s="7" t="n">
        <v>480000000</v>
      </c>
      <c r="E6" s="7">
        <f>IF(C6=0,0,D6/C6)</f>
        <v/>
      </c>
      <c r="F6" s="8" t="n">
        <v>0.963421</v>
      </c>
      <c r="G6" s="7">
        <f>E6*F6</f>
        <v/>
      </c>
      <c r="H6" s="8" t="n">
        <v>1</v>
      </c>
      <c r="I6" s="5" t="n">
        <v>2</v>
      </c>
      <c r="J6" s="5" t="n">
        <v>3</v>
      </c>
      <c r="K6" s="5" t="n">
        <v>5</v>
      </c>
      <c r="L6" s="9">
        <f>HYPERLINK("https://www.fincaraiz.com.co/apartamento-en-venta-en-altos-de-riomar-barranquilla/193609495","🔗 Ver")</f>
        <v/>
      </c>
      <c r="M6" s="5" t="inlineStr">
        <is>
          <t>Sí</t>
        </is>
      </c>
    </row>
    <row r="7">
      <c r="A7" s="5" t="inlineStr">
        <is>
          <t>fincaraiz</t>
        </is>
      </c>
      <c r="B7" s="5" t="inlineStr">
        <is>
          <t>Altos de riomar</t>
        </is>
      </c>
      <c r="C7" s="6" t="n">
        <v>103.86</v>
      </c>
      <c r="D7" s="7" t="n">
        <v>620000000</v>
      </c>
      <c r="E7" s="7">
        <f>IF(C7=0,0,D7/C7)</f>
        <v/>
      </c>
      <c r="F7" s="8" t="n">
        <v>0.89349</v>
      </c>
      <c r="G7" s="7">
        <f>E7*F7</f>
        <v/>
      </c>
      <c r="H7" s="8" t="n">
        <v>1</v>
      </c>
      <c r="I7" s="5" t="n">
        <v>3</v>
      </c>
      <c r="J7" s="5" t="n">
        <v>3</v>
      </c>
      <c r="K7" s="5" t="n">
        <v>6</v>
      </c>
      <c r="L7" s="9">
        <f>HYPERLINK("https://www.fincaraiz.com.co/apartamento-en-venta-en-altos-de-riomar-barranquilla/193470010","🔗 Ver")</f>
        <v/>
      </c>
      <c r="M7" s="5" t="inlineStr">
        <is>
          <t>Sí</t>
        </is>
      </c>
    </row>
    <row r="8">
      <c r="A8" s="5" t="inlineStr">
        <is>
          <t>fincaraiz</t>
        </is>
      </c>
      <c r="B8" s="5" t="inlineStr">
        <is>
          <t>Altos del limon</t>
        </is>
      </c>
      <c r="C8" s="6" t="n">
        <v>92</v>
      </c>
      <c r="D8" s="7" t="n">
        <v>550000000</v>
      </c>
      <c r="E8" s="7">
        <f>IF(C8=0,0,D8/C8)</f>
        <v/>
      </c>
      <c r="F8" s="8" t="n">
        <v>1.112715</v>
      </c>
      <c r="G8" s="7">
        <f>E8*F8</f>
        <v/>
      </c>
      <c r="H8" s="8" t="n">
        <v>1</v>
      </c>
      <c r="I8" s="5" t="n">
        <v>3</v>
      </c>
      <c r="J8" s="5" t="n">
        <v>2</v>
      </c>
      <c r="K8" s="5" t="n">
        <v>5</v>
      </c>
      <c r="L8" s="9">
        <f>HYPERLINK("https://www.fincaraiz.com.co/apartamento-en-venta-en-altos-del-limon-barranquilla/192462440","🔗 Ver")</f>
        <v/>
      </c>
      <c r="M8" s="5" t="inlineStr">
        <is>
          <t>Sí</t>
        </is>
      </c>
    </row>
    <row r="9">
      <c r="A9" s="5" t="inlineStr">
        <is>
          <t>metrocuadrado</t>
        </is>
      </c>
      <c r="B9" s="5" t="inlineStr">
        <is>
          <t>Altos De Riomar</t>
        </is>
      </c>
      <c r="C9" s="6" t="n">
        <v>75</v>
      </c>
      <c r="D9" s="7" t="n">
        <v>317000000</v>
      </c>
      <c r="E9" s="7">
        <f>IF(C9=0,0,D9/C9)</f>
        <v/>
      </c>
      <c r="F9" s="8" t="n">
        <v>1.030935</v>
      </c>
      <c r="G9" s="7">
        <f>E9*F9</f>
        <v/>
      </c>
      <c r="H9" s="8" t="n">
        <v>0.68</v>
      </c>
      <c r="I9" s="5" t="n">
        <v>3</v>
      </c>
      <c r="J9" s="5" t="n">
        <v>3</v>
      </c>
      <c r="K9" s="5" t="n"/>
      <c r="L9" s="9">
        <f>HYPERLINK("https://www.metrocuadrado.com/inmueble/venta-apartamento-barranquilla-crmontreal-3-habitaciones-3-banos-1-garajes/21385-M6674224","🔗 Ver")</f>
        <v/>
      </c>
      <c r="M9" s="5" t="inlineStr">
        <is>
          <t>No</t>
        </is>
      </c>
    </row>
    <row r="10">
      <c r="A10" s="5" t="inlineStr">
        <is>
          <t>ciencuadras</t>
        </is>
      </c>
      <c r="B10" s="5" t="inlineStr">
        <is>
          <t>VILLA SANTOS</t>
        </is>
      </c>
      <c r="C10" s="6" t="n">
        <v>65</v>
      </c>
      <c r="D10" s="7" t="n">
        <v>400000000</v>
      </c>
      <c r="E10" s="7">
        <f>IF(C10=0,0,D10/C10)</f>
        <v/>
      </c>
      <c r="F10" s="8" t="n">
        <v>1.132469</v>
      </c>
      <c r="G10" s="7">
        <f>E10*F10</f>
        <v/>
      </c>
      <c r="H10" s="8" t="n">
        <v>0.5600000000000001</v>
      </c>
      <c r="I10" s="5" t="n">
        <v>2</v>
      </c>
      <c r="J10" s="5" t="n">
        <v>3</v>
      </c>
      <c r="K10" s="5" t="n"/>
      <c r="L10" s="9">
        <f>HYPERLINK("https://www.ciencuadras.com/inmueble/apartamento-en-venta-en-villa-santos-barranquilla-3636757","🔗 Ver")</f>
        <v/>
      </c>
      <c r="M10" s="5" t="inlineStr">
        <is>
          <t>No</t>
        </is>
      </c>
    </row>
    <row r="11">
      <c r="A11" s="5" t="inlineStr">
        <is>
          <t>ciencuadras</t>
        </is>
      </c>
      <c r="B11" s="5" t="inlineStr">
        <is>
          <t>EL POBLADO</t>
        </is>
      </c>
      <c r="C11" s="6" t="n">
        <v>83</v>
      </c>
      <c r="D11" s="7" t="n">
        <v>490000000</v>
      </c>
      <c r="E11" s="7">
        <f>IF(C11=0,0,D11/C11)</f>
        <v/>
      </c>
      <c r="F11" s="8" t="n">
        <v>1.030935</v>
      </c>
      <c r="G11" s="7">
        <f>E11*F11</f>
        <v/>
      </c>
      <c r="H11" s="8" t="n">
        <v>0.5600000000000001</v>
      </c>
      <c r="I11" s="5" t="n">
        <v>2</v>
      </c>
      <c r="J11" s="5" t="n">
        <v>2</v>
      </c>
      <c r="K11" s="5" t="n"/>
      <c r="L11" s="9">
        <f>HYPERLINK("https://www.ciencuadras.com/inmueble/apartamento-en-venta-en-el-poblado-barranquilla-3724705","🔗 Ver")</f>
        <v/>
      </c>
      <c r="M11" s="5" t="inlineStr">
        <is>
          <t>Sí</t>
        </is>
      </c>
    </row>
    <row r="12">
      <c r="A12" s="2" t="n"/>
      <c r="B12" s="2" t="n"/>
      <c r="C12" s="2" t="n"/>
      <c r="D12" s="2" t="n"/>
      <c r="E12" s="2" t="n"/>
      <c r="F12" s="2" t="n"/>
      <c r="G12" s="2" t="n"/>
      <c r="H12" s="2" t="n"/>
      <c r="I12" s="2" t="n"/>
      <c r="J12" s="2" t="n"/>
      <c r="K12" s="2" t="n"/>
      <c r="L12" s="2" t="n"/>
      <c r="M12" s="2" t="n"/>
    </row>
    <row r="13">
      <c r="A13" s="1" t="inlineStr">
        <is>
          <t>COMPARABLES DE ARRIENDO</t>
        </is>
      </c>
      <c r="B13" s="2" t="n"/>
      <c r="C13" s="2" t="n"/>
      <c r="D13" s="2" t="n"/>
      <c r="E13" s="2" t="n"/>
      <c r="F13" s="2" t="n"/>
      <c r="G13" s="2" t="n"/>
      <c r="H13" s="2" t="n"/>
      <c r="I13" s="2" t="n"/>
      <c r="J13" s="2" t="n"/>
      <c r="K13" s="2" t="n"/>
      <c r="L13" s="2" t="n"/>
      <c r="M13" s="2" t="n"/>
    </row>
    <row r="14">
      <c r="A14" s="4" t="inlineStr">
        <is>
          <t>Portal</t>
        </is>
      </c>
      <c r="B14" s="4" t="inlineStr">
        <is>
          <t>Barrio</t>
        </is>
      </c>
      <c r="C14" s="4" t="inlineStr">
        <is>
          <t>Área m²</t>
        </is>
      </c>
      <c r="D14" s="4" t="inlineStr">
        <is>
          <t>Precio (COP)</t>
        </is>
      </c>
      <c r="E14" s="4" t="inlineStr">
        <is>
          <t>Precio/m²</t>
        </is>
      </c>
      <c r="F14" s="4" t="inlineStr">
        <is>
          <t>Factor homog.</t>
        </is>
      </c>
      <c r="G14" s="4" t="inlineStr">
        <is>
          <t>Precio/m² homog.</t>
        </is>
      </c>
      <c r="H14" s="4" t="inlineStr">
        <is>
          <t>Peso fuente</t>
        </is>
      </c>
      <c r="I14" s="4" t="inlineStr">
        <is>
          <t>Hab</t>
        </is>
      </c>
      <c r="J14" s="4" t="inlineStr">
        <is>
          <t>Baños</t>
        </is>
      </c>
      <c r="K14" s="4" t="inlineStr">
        <is>
          <t>Estrato</t>
        </is>
      </c>
      <c r="L14" s="4" t="inlineStr">
        <is>
          <t>Enlace</t>
        </is>
      </c>
      <c r="M14" s="4" t="inlineStr">
        <is>
          <t>INCLUIR EN ACM</t>
        </is>
      </c>
    </row>
    <row r="15">
      <c r="A15" s="5" t="inlineStr">
        <is>
          <t>fincaraiz</t>
        </is>
      </c>
      <c r="B15" s="5" t="inlineStr">
        <is>
          <t>Santa monica</t>
        </is>
      </c>
      <c r="C15" s="6" t="n">
        <v>74</v>
      </c>
      <c r="D15" s="7" t="n">
        <v>2500000</v>
      </c>
      <c r="E15" s="7">
        <f>IF(C15=0,0,D15/C15)</f>
        <v/>
      </c>
      <c r="F15" s="8" t="n">
        <v>0.846589</v>
      </c>
      <c r="G15" s="7">
        <f>E15*F15</f>
        <v/>
      </c>
      <c r="H15" s="8" t="n">
        <v>1</v>
      </c>
      <c r="I15" s="5" t="n">
        <v>2</v>
      </c>
      <c r="J15" s="5" t="n">
        <v>3</v>
      </c>
      <c r="K15" s="5" t="n">
        <v>6</v>
      </c>
      <c r="L15" s="9">
        <f>HYPERLINK("https://www.fincaraiz.com.co/apartamento-en-arriendo-en-santa-monica-barranquilla/193782051","🔗 Ver")</f>
        <v/>
      </c>
      <c r="M15" s="5" t="inlineStr">
        <is>
          <t>Sí</t>
        </is>
      </c>
    </row>
    <row r="16">
      <c r="A16" s="5" t="inlineStr">
        <is>
          <t>fincaraiz</t>
        </is>
      </c>
      <c r="B16" s="5" t="inlineStr">
        <is>
          <t>Altos de riomar</t>
        </is>
      </c>
      <c r="C16" s="6" t="n">
        <v>91</v>
      </c>
      <c r="D16" s="7" t="n">
        <v>3500000</v>
      </c>
      <c r="E16" s="7">
        <f>IF(C16=0,0,D16/C16)</f>
        <v/>
      </c>
      <c r="F16" s="8" t="n">
        <v>0.942257</v>
      </c>
      <c r="G16" s="7">
        <f>E16*F16</f>
        <v/>
      </c>
      <c r="H16" s="8" t="n">
        <v>1</v>
      </c>
      <c r="I16" s="5" t="n">
        <v>3</v>
      </c>
      <c r="J16" s="5" t="n">
        <v>2</v>
      </c>
      <c r="K16" s="5" t="n">
        <v>5</v>
      </c>
      <c r="L16" s="9">
        <f>HYPERLINK("https://www.fincaraiz.com.co/apartamento-en-arriendo-en-altos-de-riomar-barranquilla/10877870","🔗 Ver")</f>
        <v/>
      </c>
      <c r="M16" s="5" t="inlineStr">
        <is>
          <t>Sí</t>
        </is>
      </c>
    </row>
    <row r="17">
      <c r="A17" s="5" t="inlineStr">
        <is>
          <t>fincaraiz</t>
        </is>
      </c>
      <c r="B17" s="5" t="inlineStr">
        <is>
          <t>Riomar</t>
        </is>
      </c>
      <c r="C17" s="6" t="n">
        <v>82</v>
      </c>
      <c r="D17" s="7" t="n">
        <v>3800000</v>
      </c>
      <c r="E17" s="7">
        <f>IF(C17=0,0,D17/C17)</f>
        <v/>
      </c>
      <c r="F17" s="8" t="n">
        <v>0.975005</v>
      </c>
      <c r="G17" s="7">
        <f>E17*F17</f>
        <v/>
      </c>
      <c r="H17" s="8" t="n">
        <v>1</v>
      </c>
      <c r="I17" s="5" t="n">
        <v>2</v>
      </c>
      <c r="J17" s="5" t="n">
        <v>3</v>
      </c>
      <c r="K17" s="5" t="n">
        <v>6</v>
      </c>
      <c r="L17" s="9">
        <f>HYPERLINK("https://www.fincaraiz.com.co/apartamento-en-arriendo-en-riomar-barranquilla/191185998","🔗 Ver")</f>
        <v/>
      </c>
      <c r="M17" s="5" t="inlineStr">
        <is>
          <t>No</t>
        </is>
      </c>
    </row>
    <row r="18">
      <c r="A18" s="5" t="inlineStr">
        <is>
          <t>fincaraiz</t>
        </is>
      </c>
      <c r="B18" s="5" t="inlineStr">
        <is>
          <t>Altos de riomar</t>
        </is>
      </c>
      <c r="C18" s="6" t="n">
        <v>90</v>
      </c>
      <c r="D18" s="7" t="n">
        <v>2755000</v>
      </c>
      <c r="E18" s="7">
        <f>IF(C18=0,0,D18/C18)</f>
        <v/>
      </c>
      <c r="F18" s="8" t="n">
        <v>0.888922</v>
      </c>
      <c r="G18" s="7">
        <f>E18*F18</f>
        <v/>
      </c>
      <c r="H18" s="8" t="n">
        <v>1</v>
      </c>
      <c r="I18" s="5" t="n">
        <v>3</v>
      </c>
      <c r="J18" s="5" t="n">
        <v>3</v>
      </c>
      <c r="K18" s="5" t="n">
        <v>4</v>
      </c>
      <c r="L18" s="9">
        <f>HYPERLINK("https://www.fincaraiz.com.co/apartamento-en-arriendo-en-altos-de-riomar-barranquilla/193390256","🔗 Ver")</f>
        <v/>
      </c>
      <c r="M18" s="5" t="inlineStr">
        <is>
          <t>Sí</t>
        </is>
      </c>
    </row>
    <row r="19">
      <c r="A19" s="5" t="inlineStr">
        <is>
          <t>metrocuadrado</t>
        </is>
      </c>
      <c r="B19" s="5" t="inlineStr">
        <is>
          <t>Altos De Riomar</t>
        </is>
      </c>
      <c r="C19" s="6" t="n">
        <v>58</v>
      </c>
      <c r="D19" s="7" t="n">
        <v>1750000</v>
      </c>
      <c r="E19" s="7">
        <f>IF(C19=0,0,D19/C19)</f>
        <v/>
      </c>
      <c r="F19" s="8" t="n">
        <v>1.163307</v>
      </c>
      <c r="G19" s="7">
        <f>E19*F19</f>
        <v/>
      </c>
      <c r="H19" s="8" t="n">
        <v>0.68</v>
      </c>
      <c r="I19" s="5" t="n">
        <v>3</v>
      </c>
      <c r="J19" s="5" t="n">
        <v>2</v>
      </c>
      <c r="K19" s="5" t="n"/>
      <c r="L19" s="9">
        <f>HYPERLINK("https://www.metrocuadrado.com/inmueble/arriendo-apartamento-barranquilla-conjunto-residencial-siena-3-habitaciones-2-banos-1-garajes/22167-M6657000","🔗 Ver")</f>
        <v/>
      </c>
      <c r="M19" s="5" t="inlineStr">
        <is>
          <t>Sí</t>
        </is>
      </c>
    </row>
    <row r="20">
      <c r="A20" s="5" t="inlineStr">
        <is>
          <t>metrocuadrado</t>
        </is>
      </c>
      <c r="B20" s="5" t="inlineStr">
        <is>
          <t>Altos De Riomar</t>
        </is>
      </c>
      <c r="C20" s="6" t="n">
        <v>64</v>
      </c>
      <c r="D20" s="7" t="n">
        <v>2000000</v>
      </c>
      <c r="E20" s="7">
        <f>IF(C20=0,0,D20/C20)</f>
        <v/>
      </c>
      <c r="F20" s="8" t="n">
        <v>1.122748</v>
      </c>
      <c r="G20" s="7">
        <f>E20*F20</f>
        <v/>
      </c>
      <c r="H20" s="8" t="n">
        <v>0.68</v>
      </c>
      <c r="I20" s="5" t="n">
        <v>3</v>
      </c>
      <c r="J20" s="5" t="n">
        <v>2</v>
      </c>
      <c r="K20" s="5" t="n"/>
      <c r="L20" s="9">
        <f>HYPERLINK("https://www.metrocuadrado.com/inmueble/arriendo-apartamento-barranquilla-crolivenza-3-habitaciones-2-banos-1-garajes/22167-M6702546","🔗 Ver")</f>
        <v/>
      </c>
      <c r="M20" s="5" t="inlineStr">
        <is>
          <t>Sí</t>
        </is>
      </c>
    </row>
    <row r="21">
      <c r="A21" s="5" t="inlineStr">
        <is>
          <t>metrocuadrado</t>
        </is>
      </c>
      <c r="B21" s="5" t="inlineStr">
        <is>
          <t>Altos De Riomar</t>
        </is>
      </c>
      <c r="C21" s="6" t="n">
        <v>69</v>
      </c>
      <c r="D21" s="7" t="n">
        <v>2900000</v>
      </c>
      <c r="E21" s="7">
        <f>IF(C21=0,0,D21/C21)</f>
        <v/>
      </c>
      <c r="F21" s="8" t="n">
        <v>1.043825</v>
      </c>
      <c r="G21" s="7">
        <f>E21*F21</f>
        <v/>
      </c>
      <c r="H21" s="8" t="n">
        <v>0.68</v>
      </c>
      <c r="I21" s="5" t="n">
        <v>2</v>
      </c>
      <c r="J21" s="5" t="n">
        <v>2</v>
      </c>
      <c r="K21" s="5" t="n"/>
      <c r="L21" s="9">
        <f>HYPERLINK("https://www.metrocuadrado.com/inmueble/arriendo-apartamento-barranquilla-ub-altos-de-parque-2-habitaciones-2-banos-1-garajes/21331-M6678046","🔗 Ver")</f>
        <v/>
      </c>
      <c r="M21" s="5" t="inlineStr">
        <is>
          <t>No</t>
        </is>
      </c>
    </row>
    <row r="22">
      <c r="A22" s="5" t="inlineStr">
        <is>
          <t>metrocuadrado</t>
        </is>
      </c>
      <c r="B22" s="5" t="inlineStr">
        <is>
          <t>Altos De Riomar</t>
        </is>
      </c>
      <c r="C22" s="6" t="n">
        <v>68</v>
      </c>
      <c r="D22" s="7" t="n">
        <v>2700000</v>
      </c>
      <c r="E22" s="7">
        <f>IF(C22=0,0,D22/C22)</f>
        <v/>
      </c>
      <c r="F22" s="8" t="n">
        <v>1.043825</v>
      </c>
      <c r="G22" s="7">
        <f>E22*F22</f>
        <v/>
      </c>
      <c r="H22" s="8" t="n">
        <v>0.68</v>
      </c>
      <c r="I22" s="5" t="n">
        <v>2</v>
      </c>
      <c r="J22" s="5" t="n">
        <v>2</v>
      </c>
      <c r="K22" s="5" t="n"/>
      <c r="L22" s="9">
        <f>HYPERLINK("https://www.metrocuadrado.com/inmueble/arriendo-apartamento-barranquilla-ub-altos-de-parque-2-habitaciones-2-banos-1-garajes/21331-M6657365","🔗 Ver")</f>
        <v/>
      </c>
      <c r="M22" s="5" t="inlineStr">
        <is>
          <t>No</t>
        </is>
      </c>
    </row>
    <row r="23">
      <c r="A23" s="5" t="inlineStr">
        <is>
          <t>ciencuadras</t>
        </is>
      </c>
      <c r="B23" s="5" t="inlineStr">
        <is>
          <t>LA CAMPIÑA</t>
        </is>
      </c>
      <c r="C23" s="6" t="n">
        <v>97</v>
      </c>
      <c r="D23" s="7" t="n">
        <v>3500000</v>
      </c>
      <c r="E23" s="7">
        <f>IF(C23=0,0,D23/C23)</f>
        <v/>
      </c>
      <c r="F23" s="8" t="n">
        <v>1.043825</v>
      </c>
      <c r="G23" s="7">
        <f>E23*F23</f>
        <v/>
      </c>
      <c r="H23" s="8" t="n">
        <v>0.5600000000000001</v>
      </c>
      <c r="I23" s="5" t="n">
        <v>2</v>
      </c>
      <c r="J23" s="5" t="n">
        <v>3</v>
      </c>
      <c r="K23" s="5" t="n"/>
      <c r="L23" s="9">
        <f>HYPERLINK("https://www.ciencuadras.com/inmueble/apartamento-en-arriendo-en-la-campina-barranquilla-3576025","🔗 Ver")</f>
        <v/>
      </c>
      <c r="M23" s="5" t="inlineStr">
        <is>
          <t>Sí</t>
        </is>
      </c>
    </row>
    <row r="24">
      <c r="A24" s="5" t="inlineStr">
        <is>
          <t>ciencuadras</t>
        </is>
      </c>
      <c r="B24" s="5" t="inlineStr">
        <is>
          <t>SAN VICENTE</t>
        </is>
      </c>
      <c r="C24" s="6" t="n">
        <v>85</v>
      </c>
      <c r="D24" s="7" t="n">
        <v>3150000</v>
      </c>
      <c r="E24" s="7">
        <f>IF(C24=0,0,D24/C24)</f>
        <v/>
      </c>
      <c r="F24" s="8" t="n">
        <v>1.356972</v>
      </c>
      <c r="G24" s="7">
        <f>E24*F24</f>
        <v/>
      </c>
      <c r="H24" s="8" t="n">
        <v>0.5600000000000001</v>
      </c>
      <c r="I24" s="5" t="n">
        <v>3</v>
      </c>
      <c r="J24" s="5" t="n">
        <v>2</v>
      </c>
      <c r="K24" s="5" t="n"/>
      <c r="L24" s="9">
        <f>HYPERLINK("https://www.ciencuadras.com/inmueble/apartamento-en-arriendo-en-san-vicente-barranquilla-3686881","🔗 Ver")</f>
        <v/>
      </c>
      <c r="M24" s="5" t="inlineStr">
        <is>
          <t>No</t>
        </is>
      </c>
    </row>
  </sheetData>
  <conditionalFormatting sqref="G3:G11">
    <cfRule type="expression" priority="1" dxfId="0">
      <formula>ABS(G3-AVERAGE($G$3:$G$11))&gt;2*STDEV($G$3:$G$11)</formula>
    </cfRule>
  </conditionalFormatting>
  <conditionalFormatting sqref="G15:G24">
    <cfRule type="expression" priority="2" dxfId="0">
      <formula>ABS(G15-AVERAGE($G$15:$G$24))&gt;2*STDEV($G$15:$G$24)</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COUNTIF(COMPARABLES!M3:M11,"Sí")</f>
        <v/>
      </c>
    </row>
    <row r="3">
      <c r="A3" s="3" t="inlineStr">
        <is>
          <t>Promedio ponderado /m² (vivo)</t>
        </is>
      </c>
      <c r="B3" s="10">
        <f>IFERROR(SUMPRODUCT((COMPARABLES!M3:M11="Sí")*COMPARABLES!H3:H11*COMPARABLES!G3:G11)/SUMPRODUCT((COMPARABLES!M3:M11="Sí")*COMPARABLES!H3:H11),0)</f>
        <v/>
      </c>
    </row>
    <row r="4">
      <c r="A4" s="3" t="inlineStr">
        <is>
          <t>Promedio sin ponderar /m² (verif.)</t>
        </is>
      </c>
      <c r="B4" s="10">
        <f>IFERROR(AVERAGEIF(COMPARABLES!M3:M11,"Sí",COMPARABLES!G3:G11),0)</f>
        <v/>
      </c>
    </row>
    <row r="5">
      <c r="A5" s="3" t="inlineStr">
        <is>
          <t>CV ponderado (%) — cálculo ACM</t>
        </is>
      </c>
      <c r="B5" s="11" t="n">
        <v>13.56</v>
      </c>
    </row>
    <row r="6">
      <c r="A6" s="3" t="inlineStr">
        <is>
          <t>Precio/m² adoptado</t>
        </is>
      </c>
      <c r="B6" s="10">
        <f t="array" ref="B6">MAX(B3,MEDIAN(IF(COMPARABLES!M3:M11="Sí",COMPARABLES!E3:E11)))</f>
        <v/>
      </c>
    </row>
    <row r="7">
      <c r="A7" s="3" t="inlineStr">
        <is>
          <t>Área del sujeto (m²)</t>
        </is>
      </c>
      <c r="B7" s="11" t="n">
        <v>80.13</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COUNTIF(COMPARABLES!M15:M24,"Sí")</f>
        <v/>
      </c>
    </row>
    <row r="12">
      <c r="A12" s="3" t="inlineStr">
        <is>
          <t>Promedio ponderado /m² (vivo)</t>
        </is>
      </c>
      <c r="B12" s="10">
        <f>IFERROR(SUMPRODUCT((COMPARABLES!M15:M24="Sí")*COMPARABLES!H15:H24*COMPARABLES!G15:G24)/SUMPRODUCT((COMPARABLES!M15:M24="Sí")*COMPARABLES!H15:H24),0)</f>
        <v/>
      </c>
    </row>
    <row r="13">
      <c r="A13" s="3" t="inlineStr">
        <is>
          <t>Promedio sin ponderar /m² (verif.)</t>
        </is>
      </c>
      <c r="B13" s="10">
        <f>IFERROR(AVERAGEIF(COMPARABLES!M15:M24,"Sí",COMPARABLES!G15:G24),0)</f>
        <v/>
      </c>
    </row>
    <row r="14">
      <c r="A14" s="3" t="inlineStr">
        <is>
          <t>CV ponderado (%) — cálculo ACM</t>
        </is>
      </c>
      <c r="B14" s="11" t="n">
        <v>13.67</v>
      </c>
    </row>
    <row r="15">
      <c r="A15" s="3" t="inlineStr">
        <is>
          <t>Precio/m² adoptado</t>
        </is>
      </c>
      <c r="B15" s="10">
        <f>B12</f>
        <v/>
      </c>
    </row>
    <row r="16">
      <c r="A16" s="3" t="inlineStr">
        <is>
          <t>Área del sujeto (m²)</t>
        </is>
      </c>
      <c r="B16" s="11" t="n">
        <v>80.13</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12</v>
      </c>
    </row>
    <row r="4">
      <c r="A4" s="3" t="inlineStr">
        <is>
          <t>Vida útil (años)</t>
        </is>
      </c>
      <c r="B4" s="2" t="n">
        <v>100</v>
      </c>
    </row>
    <row r="5">
      <c r="A5" s="3" t="inlineStr">
        <is>
          <t>Precio/m² a nuevo (depreciado)</t>
        </is>
      </c>
      <c r="B5" s="10" t="n">
        <v>3163836.83</v>
      </c>
    </row>
    <row r="6">
      <c r="A6" s="3" t="inlineStr">
        <is>
          <t>Área (m²)</t>
        </is>
      </c>
      <c r="B6" s="11" t="n">
        <v>80.13</v>
      </c>
    </row>
    <row r="7">
      <c r="A7" s="3" t="inlineStr">
        <is>
          <t>Valor por costo de reposición</t>
        </is>
      </c>
      <c r="B7" s="10" t="n">
        <v>253518245.19</v>
      </c>
    </row>
    <row r="8">
      <c r="A8" s="3" t="inlineStr">
        <is>
          <t>% terreno</t>
        </is>
      </c>
      <c r="B8" s="11" t="n">
        <v>45.69</v>
      </c>
    </row>
    <row r="9">
      <c r="A9" s="3" t="inlineStr">
        <is>
          <t>% construcción</t>
        </is>
      </c>
      <c r="B9" s="11" t="n">
        <v>54.31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0"/>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CUATROCIENTOS SESENTA Y SEIS MILLONES SETECIENTOS SETENTA Y SEIS MIL SEISCIENTOS NOVENTA Y NUEVE PESOS MONEDA CORRIENTE</t>
        </is>
      </c>
    </row>
    <row r="5">
      <c r="A5" s="3" t="inlineStr">
        <is>
          <t>CANON MENSUAL DE ARRIENDO (vivo)</t>
        </is>
      </c>
      <c r="B5" s="10">
        <f>'ACM ANÁLISIS'!B17</f>
        <v/>
      </c>
    </row>
    <row r="6">
      <c r="A6" s="3" t="inlineStr">
        <is>
          <t>Canon en letras (cálculo inicial)</t>
        </is>
      </c>
      <c r="B6" s="2" t="inlineStr">
        <is>
          <t>DOS MILLONES SEISCIENTOS VEINTE MIL TREINTA Y UNO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393004596</v>
      </c>
    </row>
    <row r="10">
      <c r="A10" s="3" t="inlineStr">
        <is>
          <t>Costo de reposición (Art. 3)</t>
        </is>
      </c>
      <c r="B10" s="10" t="n">
        <v>253518245.19</v>
      </c>
    </row>
    <row r="11">
      <c r="A11" s="3" t="inlineStr">
        <is>
          <t>Asimetría venta / CV homogéneo</t>
        </is>
      </c>
      <c r="B11" s="2" t="inlineStr">
        <is>
          <t>-0.032 / no (&gt;7,5%)</t>
        </is>
      </c>
    </row>
    <row r="12">
      <c r="A12" s="3" t="inlineStr">
        <is>
          <t>Período de mercadeo</t>
        </is>
      </c>
      <c r="B12" s="2" t="inlineStr">
        <is>
          <t>6 a 9 meses</t>
        </is>
      </c>
    </row>
    <row r="13">
      <c r="A13" s="3" t="inlineStr">
        <is>
          <t>Vigencia</t>
        </is>
      </c>
      <c r="B13" s="2" t="inlineStr">
        <is>
          <t>12 meses desde la fecha del estudio (vigencia usual del avalúo comercial).</t>
        </is>
      </c>
    </row>
    <row r="14">
      <c r="A14" s="2" t="n"/>
      <c r="B14" s="2" t="n"/>
    </row>
    <row r="15">
      <c r="A15" s="3" t="inlineStr">
        <is>
          <t>Índice de sector</t>
        </is>
      </c>
      <c r="B15" s="2" t="inlineStr">
        <is>
          <t>datos de mercado (barrio n=13, pool=25)</t>
        </is>
      </c>
    </row>
    <row r="16">
      <c r="A16" s="3" t="inlineStr">
        <is>
          <t>Mezcla de fuentes (venta)</t>
        </is>
      </c>
      <c r="B16" s="2" t="inlineStr">
        <is>
          <t>fincaraiz: 6, ciencuadras: 1</t>
        </is>
      </c>
    </row>
    <row r="17">
      <c r="A17" s="3" t="inlineStr">
        <is>
          <t>Confianza venta / arriendo</t>
        </is>
      </c>
      <c r="B17" s="2" t="inlineStr">
        <is>
          <t>media / media</t>
        </is>
      </c>
    </row>
    <row r="18">
      <c r="A18" s="3" t="inlineStr">
        <is>
          <t>Fuente autoritativa</t>
        </is>
      </c>
      <c r="B18" s="2" t="inlineStr">
        <is>
          <t>ninguna</t>
        </is>
      </c>
    </row>
    <row r="19">
      <c r="A19" s="2" t="n"/>
      <c r="B19" s="2" t="n"/>
    </row>
    <row r="20">
      <c r="A20" s="13" t="inlineStr">
        <is>
          <t>Los valores marcados (vivo) se recalculan al cambiar la columna INCLUIR EN ACM en la hoja COMPARABLES. El valor en letras corresponde al cálculo inicial.</t>
        </is>
      </c>
      <c r="B20" s="2" t="n"/>
    </row>
    <row r="21">
      <c r="A21" s="2" t="n"/>
      <c r="B21" s="2" t="n"/>
    </row>
    <row r="22">
      <c r="A22" s="1" t="inlineStr">
        <is>
          <t>Fundamento normativo</t>
        </is>
      </c>
      <c r="B22" s="2" t="n"/>
    </row>
    <row r="23">
      <c r="A23" s="14" t="inlineStr">
        <is>
          <t>• Decreto 1420 de 1998 (compilado en Decreto 1170 de 2015), Arts. 3 y 25.</t>
        </is>
      </c>
      <c r="B23" s="2" t="n"/>
    </row>
    <row r="24">
      <c r="A24" s="14" t="inlineStr">
        <is>
          <t>• Resolución IGAC 620 de 2008, Arts. 1–4 (métodos), 10 y 18 (PH / área privada), 11 (estadística).</t>
        </is>
      </c>
      <c r="B24" s="2" t="n"/>
    </row>
    <row r="25">
      <c r="A25" s="14" t="inlineStr">
        <is>
          <t>• Ley 1673 de 2013 y Decreto 556 de 2014 (profesión del avaluador; Registro Abierto de Avaluadores).</t>
        </is>
      </c>
      <c r="B25" s="2" t="n"/>
    </row>
    <row r="26">
      <c r="A26" s="14" t="inlineStr">
        <is>
          <t>• Procedimiento IGAC PC-VAL-03 (Resolución 1040 de 2023).</t>
        </is>
      </c>
      <c r="B26" s="2" t="n"/>
    </row>
    <row r="27">
      <c r="A27" s="2" t="n"/>
      <c r="B27" s="2" t="n"/>
    </row>
    <row r="28">
      <c r="A2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28" s="2" t="n"/>
    </row>
    <row r="29">
      <c r="A29" s="2" t="n"/>
      <c r="B29" s="2" t="n"/>
    </row>
    <row r="30">
      <c r="A30" s="2" t="n"/>
      <c r="B30" s="2" t="n"/>
    </row>
    <row r="31">
      <c r="A31" s="2" t="n"/>
      <c r="B31" s="2" t="n"/>
    </row>
    <row r="32">
      <c r="A32" s="2" t="n"/>
      <c r="B32" s="2" t="n"/>
    </row>
    <row r="33">
      <c r="A33" s="1" t="inlineStr">
        <is>
          <t>Observaciones</t>
        </is>
      </c>
      <c r="B33" s="2" t="n"/>
    </row>
    <row r="34">
      <c r="A34" s="2" t="inlineStr">
        <is>
          <t>• 9 comparable(s) sin antigüedad publicada: se supuso una antigüedad típica de mercado (~20 años) para depreciar el inmueble del sujeto (12 años) frente a ellos (Fitto-Corvini).</t>
        </is>
      </c>
      <c r="B34" s="2" t="n"/>
    </row>
    <row r="35">
      <c r="A35" s="2" t="inlineStr">
        <is>
          <t>• Comparables de venta: 2 excluido(s) por precio fuera de la norma del sector (sobreprecio o subprecio atípico respecto a la mediana homogenizada).</t>
        </is>
      </c>
      <c r="B35" s="2" t="n"/>
    </row>
    <row r="36">
      <c r="A36" s="2" t="inlineStr">
        <is>
          <t>• Venta: el valor adoptado se ancló a la MEDIANA de precio/m² del sector (nivel típico del barrio); la homogenización por antigüedad lo situaba por debajo de ese nivel.</t>
        </is>
      </c>
      <c r="B36" s="2" t="n"/>
    </row>
    <row r="37">
      <c r="A37" s="2" t="inlineStr">
        <is>
          <t>• CV de venta = 13.56% &gt; 7,5% (Res. 620/2008, Art. 11): la muestra no es homogénea; se adopta la MEDIA ponderada del conjunto depurado como valor más probable (referencial) y se recomienda reforzar el número de comparables.</t>
        </is>
      </c>
      <c r="B37" s="2" t="n"/>
    </row>
    <row r="38">
      <c r="A38" s="2" t="inlineStr">
        <is>
          <t>• Comparables de arriendo: 4 excluido(s) por precio fuera de la norma del sector (sobreprecio o subprecio atípico respecto a la mediana homogenizada).</t>
        </is>
      </c>
      <c r="B38" s="2" t="n"/>
    </row>
    <row r="39">
      <c r="A39" s="2" t="inlineStr">
        <is>
          <t>• CV de arriendo = 13.67% &gt; 7,5% (Res. 620/2008, Art. 11): la muestra no es homogénea; se adopta la MEDIA ponderada del conjunto depurado como valor más probable (referencial) y se recomienda reforzar el número de comparables.</t>
        </is>
      </c>
      <c r="B39" s="2" t="n"/>
    </row>
    <row r="40">
      <c r="A40" s="2" t="inlineStr">
        <is>
          <t>• Depreciación Fitto-Corvini para estado Bien mantenido: coeficientes parciales del spec; completar con la Resolución 620/2008 antes de uso oficial.</t>
        </is>
      </c>
      <c r="B40" s="2" t="n"/>
    </row>
  </sheetData>
  <mergeCells count="1">
    <mergeCell ref="A28:B3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2026-06-03T01:26:47Z</dcterms:created>
  <dcterms:modified xmlns:dcterms="http://purl.org/dc/terms/" xmlns:xsi="http://www.w3.org/2001/XMLSchema-instance" xsi:type="dcterms:W3CDTF">2026-06-03T01:26:47Z</dcterms:modified>
</cp:coreProperties>
</file>